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2" windowWidth="23256" windowHeight="12072" tabRatio="890" firstSheet="3" activeTab="6"/>
  </bookViews>
  <sheets>
    <sheet name="модели" sheetId="13" r:id="rId1"/>
    <sheet name="покрытия" sheetId="1" r:id="rId2"/>
    <sheet name="СОДЕРЖАНИЕ" sheetId="10" r:id="rId3"/>
    <sheet name="Погонаж" sheetId="12" r:id="rId4"/>
    <sheet name="Fusion" sheetId="9" r:id="rId5"/>
    <sheet name="Twist" sheetId="15" r:id="rId6"/>
    <sheet name="Porte39-00" sheetId="16" r:id="rId7"/>
    <sheet name="Porte 39-01" sheetId="23" r:id="rId8"/>
    <sheet name="Porte52-00" sheetId="32" r:id="rId9"/>
    <sheet name="Porte 52-01" sheetId="33" r:id="rId10"/>
    <sheet name="Slot" sheetId="20" r:id="rId11"/>
    <sheet name="Duet" sheetId="18" r:id="rId12"/>
    <sheet name="Vetro11, 13" sheetId="19" r:id="rId13"/>
    <sheet name="Vetro12,14,19" sheetId="25" r:id="rId14"/>
    <sheet name="Vetro18, 20, 21" sheetId="21" r:id="rId15"/>
    <sheet name="Накладки" sheetId="22" r:id="rId16"/>
    <sheet name="Стен.панели" sheetId="29" r:id="rId17"/>
    <sheet name="234" sheetId="31" state="hidden" r:id="rId18"/>
    <sheet name="наценки" sheetId="11" r:id="rId19"/>
    <sheet name="декоры" sheetId="30" r:id="rId20"/>
    <sheet name="база" sheetId="24" r:id="rId21"/>
  </sheets>
  <definedNames>
    <definedName name="_xlnm.Print_Titles" localSheetId="3">Погонаж!$6:$6</definedName>
    <definedName name="_xlnm.Print_Titles" localSheetId="1">покрытия!$3:$4</definedName>
    <definedName name="_xlnm.Print_Area" localSheetId="11">Duet!$A$1:$G$98</definedName>
    <definedName name="_xlnm.Print_Area" localSheetId="4">Fusion!$A$1:$G$54</definedName>
    <definedName name="_xlnm.Print_Area" localSheetId="7">'Porte 39-01'!$A$1:$G$126</definedName>
    <definedName name="_xlnm.Print_Area" localSheetId="9">'Porte 52-01'!$A$1:$G$99</definedName>
    <definedName name="_xlnm.Print_Area" localSheetId="6">'Porte39-00'!$A$1:$G$108</definedName>
    <definedName name="_xlnm.Print_Area" localSheetId="8">'Porte52-00'!$A$1:$G$61</definedName>
    <definedName name="_xlnm.Print_Area" localSheetId="10">Slot!$A$1:$G$107</definedName>
    <definedName name="_xlnm.Print_Area" localSheetId="5">Twist!$A$1:$G$54</definedName>
    <definedName name="_xlnm.Print_Area" localSheetId="12">'Vetro11, 13'!$A$1:$G$107</definedName>
    <definedName name="_xlnm.Print_Area" localSheetId="13">'Vetro12,14,19'!$A$1:$G$107</definedName>
    <definedName name="_xlnm.Print_Area" localSheetId="14">'Vetro18, 20, 21'!$A$1:$G$125</definedName>
    <definedName name="_xlnm.Print_Area" localSheetId="20">база!$A$1:$J$63</definedName>
    <definedName name="_xlnm.Print_Area" localSheetId="19">декоры!$A$1:$G$68</definedName>
    <definedName name="_xlnm.Print_Area" localSheetId="15">Накладки!$A$1:$H$31</definedName>
    <definedName name="_xlnm.Print_Area" localSheetId="3">Погонаж!$A$1:$H$91</definedName>
    <definedName name="_xlnm.Print_Area" localSheetId="1">покрытия!$A$1:$H$57</definedName>
    <definedName name="_xlnm.Print_Area" localSheetId="16">Стен.панели!$A$1:$G$118</definedName>
  </definedNames>
  <calcPr calcId="145621"/>
</workbook>
</file>

<file path=xl/calcChain.xml><?xml version="1.0" encoding="utf-8"?>
<calcChain xmlns="http://schemas.openxmlformats.org/spreadsheetml/2006/main">
  <c r="E106" i="21" l="1"/>
  <c r="E107" i="21"/>
  <c r="E108" i="21"/>
  <c r="E109" i="21"/>
  <c r="E105" i="21"/>
  <c r="E88" i="25"/>
  <c r="E89" i="25"/>
  <c r="E90" i="25"/>
  <c r="E91" i="25"/>
  <c r="E87" i="25"/>
  <c r="E88" i="19"/>
  <c r="E89" i="19"/>
  <c r="E90" i="19"/>
  <c r="E91" i="19"/>
  <c r="E87" i="19"/>
  <c r="E79" i="18"/>
  <c r="E80" i="18"/>
  <c r="E81" i="18"/>
  <c r="E82" i="18"/>
  <c r="E78" i="18"/>
  <c r="E88" i="20"/>
  <c r="E89" i="20"/>
  <c r="E90" i="20"/>
  <c r="E91" i="20"/>
  <c r="E87" i="20"/>
  <c r="E80" i="33"/>
  <c r="E81" i="33"/>
  <c r="E82" i="33"/>
  <c r="E83" i="33"/>
  <c r="E79" i="33"/>
  <c r="E42" i="32"/>
  <c r="E43" i="32"/>
  <c r="E44" i="32"/>
  <c r="E45" i="32"/>
  <c r="E41" i="32"/>
  <c r="E108" i="23"/>
  <c r="E109" i="23"/>
  <c r="E110" i="23"/>
  <c r="E107" i="23"/>
  <c r="E106" i="23"/>
  <c r="D16" i="24" l="1"/>
  <c r="F13" i="16" s="1"/>
  <c r="C6" i="24"/>
  <c r="C5" i="24"/>
  <c r="C4" i="24"/>
  <c r="D8" i="24"/>
  <c r="D9" i="24"/>
  <c r="E114" i="21"/>
  <c r="E113" i="21"/>
  <c r="E112" i="21"/>
  <c r="E111" i="21"/>
  <c r="E110" i="21"/>
  <c r="E96" i="25"/>
  <c r="E95" i="25"/>
  <c r="E94" i="25"/>
  <c r="E93" i="25"/>
  <c r="E92" i="25"/>
  <c r="E96" i="19"/>
  <c r="E95" i="19"/>
  <c r="E94" i="19"/>
  <c r="E93" i="19"/>
  <c r="E92" i="19"/>
  <c r="E87" i="18"/>
  <c r="E86" i="18"/>
  <c r="E85" i="18"/>
  <c r="E84" i="18"/>
  <c r="E83" i="18"/>
  <c r="E96" i="20"/>
  <c r="E95" i="20"/>
  <c r="E94" i="20"/>
  <c r="E93" i="20"/>
  <c r="E92" i="20"/>
  <c r="E88" i="33"/>
  <c r="E87" i="33"/>
  <c r="E86" i="33"/>
  <c r="E85" i="33"/>
  <c r="E84" i="33"/>
  <c r="E50" i="32"/>
  <c r="E49" i="32"/>
  <c r="E48" i="32"/>
  <c r="E47" i="32"/>
  <c r="E46" i="32"/>
  <c r="E115" i="23"/>
  <c r="E80" i="16"/>
  <c r="F13" i="33"/>
  <c r="D17" i="24" l="1"/>
  <c r="F48" i="30"/>
  <c r="F49" i="30"/>
  <c r="F54" i="30" s="1"/>
  <c r="F50" i="30"/>
  <c r="F55" i="30" s="1"/>
  <c r="F51" i="30"/>
  <c r="F56" i="30" s="1"/>
  <c r="F52" i="30"/>
  <c r="F53" i="30"/>
  <c r="E54" i="30"/>
  <c r="E53" i="30"/>
  <c r="E49" i="30"/>
  <c r="E48" i="30"/>
  <c r="F37" i="30"/>
  <c r="G37" i="30" s="1"/>
  <c r="G36" i="30"/>
  <c r="E30" i="16"/>
  <c r="F30" i="16" s="1"/>
  <c r="D31" i="16"/>
  <c r="E31" i="16"/>
  <c r="D32" i="16"/>
  <c r="E32" i="16"/>
  <c r="D33" i="16"/>
  <c r="E33" i="16"/>
  <c r="D34" i="16"/>
  <c r="E34" i="16"/>
  <c r="E35" i="16"/>
  <c r="E36" i="16" s="1"/>
  <c r="F35" i="16"/>
  <c r="G35" i="16" s="1"/>
  <c r="D36" i="16"/>
  <c r="D37" i="16"/>
  <c r="D38" i="16"/>
  <c r="E38" i="16"/>
  <c r="F38" i="16"/>
  <c r="D39" i="16"/>
  <c r="E40" i="16"/>
  <c r="F40" i="16" s="1"/>
  <c r="D41" i="16"/>
  <c r="E41" i="16"/>
  <c r="D42" i="16"/>
  <c r="E42" i="16"/>
  <c r="D43" i="16"/>
  <c r="D44" i="16"/>
  <c r="E44" i="16"/>
  <c r="D25" i="24"/>
  <c r="F25" i="24" s="1"/>
  <c r="F13" i="23" s="1"/>
  <c r="E87" i="16"/>
  <c r="E86" i="16"/>
  <c r="E85" i="16"/>
  <c r="E84" i="16"/>
  <c r="M61" i="21"/>
  <c r="M62" i="21"/>
  <c r="M63" i="21"/>
  <c r="M64" i="21"/>
  <c r="M65" i="21"/>
  <c r="M66" i="21"/>
  <c r="M67" i="21"/>
  <c r="M68" i="21"/>
  <c r="M69" i="21"/>
  <c r="M70" i="21"/>
  <c r="L62" i="21"/>
  <c r="L63" i="21"/>
  <c r="L64" i="21"/>
  <c r="L65" i="21"/>
  <c r="L66" i="21"/>
  <c r="L67" i="21"/>
  <c r="L68" i="21"/>
  <c r="L69" i="21"/>
  <c r="L70" i="21"/>
  <c r="L61" i="21"/>
  <c r="N49" i="21"/>
  <c r="O49" i="21"/>
  <c r="M49" i="21"/>
  <c r="O38" i="21"/>
  <c r="N38" i="21"/>
  <c r="M38" i="21"/>
  <c r="F37" i="16" l="1"/>
  <c r="E37" i="16"/>
  <c r="F39" i="16"/>
  <c r="E43" i="16"/>
  <c r="E39" i="16"/>
  <c r="F36" i="16"/>
  <c r="G36" i="16"/>
  <c r="G37" i="16"/>
  <c r="G38" i="16"/>
  <c r="G39" i="16"/>
  <c r="F31" i="16"/>
  <c r="F32" i="16"/>
  <c r="F33" i="16"/>
  <c r="F34" i="16"/>
  <c r="G30" i="16"/>
  <c r="F41" i="16"/>
  <c r="F42" i="16"/>
  <c r="F43" i="16"/>
  <c r="F44" i="16"/>
  <c r="G40" i="16"/>
  <c r="G16" i="12"/>
  <c r="D15" i="24"/>
  <c r="B15" i="24" s="1"/>
  <c r="P29" i="24" s="1"/>
  <c r="R28" i="24"/>
  <c r="Q29" i="24"/>
  <c r="R30" i="24"/>
  <c r="R31" i="24"/>
  <c r="S31" i="24"/>
  <c r="Q33" i="24"/>
  <c r="Q34" i="24"/>
  <c r="Q35" i="24"/>
  <c r="G31" i="16" l="1"/>
  <c r="G32" i="16"/>
  <c r="G33" i="16"/>
  <c r="G34" i="16"/>
  <c r="G41" i="16"/>
  <c r="G42" i="16"/>
  <c r="G43" i="16"/>
  <c r="G44" i="16"/>
  <c r="R29" i="24"/>
  <c r="J84" i="12"/>
  <c r="J43" i="16" l="1"/>
  <c r="J42" i="16"/>
  <c r="J41" i="16"/>
  <c r="J38" i="16"/>
  <c r="J37" i="16"/>
  <c r="J36" i="16"/>
  <c r="J33" i="16"/>
  <c r="J32" i="16"/>
  <c r="J31" i="16"/>
  <c r="O14" i="9"/>
  <c r="Q14" i="9" s="1"/>
  <c r="O15" i="9"/>
  <c r="Q15" i="9" s="1"/>
  <c r="O16" i="9"/>
  <c r="Q16" i="9" s="1"/>
  <c r="O17" i="9"/>
  <c r="Q17" i="9" s="1"/>
  <c r="O18" i="9"/>
  <c r="Q18" i="9" s="1"/>
  <c r="O19" i="9"/>
  <c r="Q19" i="9" s="1"/>
  <c r="O20" i="9"/>
  <c r="Q20" i="9" s="1"/>
  <c r="O21" i="9"/>
  <c r="Q21" i="9" s="1"/>
  <c r="O13" i="9"/>
  <c r="Q13" i="9" s="1"/>
  <c r="M14" i="9"/>
  <c r="M15" i="9"/>
  <c r="M16" i="9"/>
  <c r="M17" i="9"/>
  <c r="M18" i="9"/>
  <c r="M19" i="9"/>
  <c r="M20" i="9"/>
  <c r="M21" i="9"/>
  <c r="M13" i="9"/>
  <c r="F122" i="21"/>
  <c r="B86" i="21"/>
  <c r="E41" i="21"/>
  <c r="M41" i="21" s="1"/>
  <c r="F123" i="21"/>
  <c r="F105" i="25"/>
  <c r="B68" i="25"/>
  <c r="B82" i="25" s="1"/>
  <c r="D33" i="25"/>
  <c r="F105" i="19"/>
  <c r="F104" i="19"/>
  <c r="B68" i="19"/>
  <c r="B82" i="19" s="1"/>
  <c r="D33" i="19"/>
  <c r="F96" i="18"/>
  <c r="F95" i="18"/>
  <c r="B73" i="18"/>
  <c r="B68" i="18"/>
  <c r="B54" i="18"/>
  <c r="D33" i="18"/>
  <c r="F96" i="33"/>
  <c r="F105" i="20"/>
  <c r="F104" i="20"/>
  <c r="B77" i="20"/>
  <c r="B82" i="20"/>
  <c r="F97" i="33"/>
  <c r="B77" i="19" l="1"/>
  <c r="B77" i="25"/>
  <c r="F58" i="32"/>
  <c r="F59" i="32"/>
  <c r="F17" i="32"/>
  <c r="G17" i="32" s="1"/>
  <c r="F123" i="23"/>
  <c r="K40" i="16"/>
  <c r="N40" i="16"/>
  <c r="F124" i="23"/>
  <c r="F59" i="30"/>
  <c r="E63" i="30"/>
  <c r="E68" i="30" s="1"/>
  <c r="E62" i="30"/>
  <c r="E67" i="30" s="1"/>
  <c r="E61" i="30"/>
  <c r="E66" i="30" s="1"/>
  <c r="E60" i="30"/>
  <c r="E65" i="30" s="1"/>
  <c r="E64" i="30"/>
  <c r="M64" i="30" s="1"/>
  <c r="E51" i="30"/>
  <c r="E56" i="30" s="1"/>
  <c r="E50" i="30"/>
  <c r="E55" i="30" s="1"/>
  <c r="F40" i="30"/>
  <c r="G40" i="30" s="1"/>
  <c r="E40" i="30"/>
  <c r="E45" i="30" s="1"/>
  <c r="E39" i="30"/>
  <c r="E44" i="30" s="1"/>
  <c r="E38" i="30"/>
  <c r="E43" i="30" s="1"/>
  <c r="F106" i="16"/>
  <c r="F105" i="16"/>
  <c r="F97" i="16"/>
  <c r="F96" i="16"/>
  <c r="F103" i="16"/>
  <c r="F102" i="16"/>
  <c r="L40" i="16" l="1"/>
  <c r="K43" i="16"/>
  <c r="K42" i="16"/>
  <c r="K41" i="16"/>
  <c r="F61" i="23"/>
  <c r="F61" i="33"/>
  <c r="E29" i="21"/>
  <c r="G45" i="32"/>
  <c r="G68" i="30"/>
  <c r="F68" i="30"/>
  <c r="F45" i="30"/>
  <c r="F42" i="33"/>
  <c r="F58" i="33"/>
  <c r="F53" i="33"/>
  <c r="G42" i="33"/>
  <c r="E58" i="33"/>
  <c r="E53" i="33"/>
  <c r="F63" i="30"/>
  <c r="E53" i="23"/>
  <c r="F45" i="32"/>
  <c r="F53" i="23"/>
  <c r="O40" i="16"/>
  <c r="D38" i="20"/>
  <c r="D43" i="20"/>
  <c r="G63" i="30"/>
  <c r="F64" i="30"/>
  <c r="F42" i="23"/>
  <c r="G64" i="30"/>
  <c r="G42" i="23"/>
  <c r="F47" i="33" l="1"/>
  <c r="G45" i="30"/>
  <c r="G47" i="33" s="1"/>
  <c r="F47" i="23"/>
  <c r="G65" i="23"/>
  <c r="G65" i="33"/>
  <c r="F65" i="23"/>
  <c r="F65" i="33"/>
  <c r="G70" i="33"/>
  <c r="G70" i="23"/>
  <c r="G47" i="23"/>
  <c r="O64" i="30"/>
  <c r="G66" i="33"/>
  <c r="G66" i="23"/>
  <c r="N64" i="30"/>
  <c r="F66" i="33"/>
  <c r="F66" i="23"/>
  <c r="F70" i="33"/>
  <c r="F70" i="23"/>
  <c r="M40" i="16"/>
  <c r="L43" i="16"/>
  <c r="L42" i="16"/>
  <c r="L41" i="16"/>
  <c r="E32" i="21"/>
  <c r="E30" i="21"/>
  <c r="D43" i="25"/>
  <c r="D43" i="19"/>
  <c r="D43" i="18"/>
  <c r="D38" i="25"/>
  <c r="D38" i="19"/>
  <c r="D38" i="18"/>
  <c r="P40" i="16"/>
  <c r="M43" i="16" l="1"/>
  <c r="M42" i="16"/>
  <c r="M41" i="16"/>
  <c r="Q40" i="16"/>
  <c r="K32" i="29" l="1"/>
  <c r="K33" i="29"/>
  <c r="K31" i="29"/>
  <c r="J31" i="29"/>
  <c r="I31" i="29"/>
  <c r="L31" i="29" s="1"/>
  <c r="I12" i="29"/>
  <c r="I13" i="29"/>
  <c r="I10" i="29"/>
  <c r="D19" i="24"/>
  <c r="R33" i="24" s="1"/>
  <c r="D18" i="24"/>
  <c r="R32" i="24" s="1"/>
  <c r="M59" i="30"/>
  <c r="N47" i="30"/>
  <c r="M50" i="30"/>
  <c r="M55" i="30"/>
  <c r="M47" i="30"/>
  <c r="N36" i="30"/>
  <c r="O36" i="30"/>
  <c r="M38" i="30"/>
  <c r="M39" i="30"/>
  <c r="M43" i="30"/>
  <c r="M44" i="30"/>
  <c r="M36" i="30"/>
  <c r="D30" i="30"/>
  <c r="N12" i="30"/>
  <c r="N17" i="30"/>
  <c r="N7" i="30"/>
  <c r="K107" i="23"/>
  <c r="K108" i="23"/>
  <c r="K109" i="23"/>
  <c r="K106" i="23"/>
  <c r="K13" i="32"/>
  <c r="K80" i="16"/>
  <c r="K81" i="16"/>
  <c r="K82" i="16"/>
  <c r="K79" i="16"/>
  <c r="N35" i="16"/>
  <c r="N30" i="16"/>
  <c r="K35" i="16"/>
  <c r="K30" i="16"/>
  <c r="L30" i="16" l="1"/>
  <c r="K32" i="16"/>
  <c r="K31" i="16"/>
  <c r="K33" i="16"/>
  <c r="K38" i="16"/>
  <c r="K37" i="16"/>
  <c r="K36" i="16"/>
  <c r="O35" i="16"/>
  <c r="M31" i="29"/>
  <c r="K13" i="33"/>
  <c r="F17" i="33"/>
  <c r="F83" i="33" s="1"/>
  <c r="L35" i="16"/>
  <c r="L38" i="16" l="1"/>
  <c r="L37" i="16"/>
  <c r="L36" i="16"/>
  <c r="M30" i="16"/>
  <c r="L31" i="16"/>
  <c r="L33" i="16"/>
  <c r="L32" i="16"/>
  <c r="G17" i="33"/>
  <c r="G83" i="33" s="1"/>
  <c r="M35" i="16"/>
  <c r="M32" i="16" l="1"/>
  <c r="M31" i="16"/>
  <c r="M33" i="16"/>
  <c r="M38" i="16"/>
  <c r="M37" i="16"/>
  <c r="M36" i="16"/>
  <c r="D24" i="24"/>
  <c r="F13" i="9"/>
  <c r="F17" i="9" l="1"/>
  <c r="L13" i="9"/>
  <c r="F16" i="9"/>
  <c r="H16" i="9" s="1"/>
  <c r="I16" i="9" l="1"/>
  <c r="R16" i="9" s="1"/>
  <c r="P16" i="9"/>
  <c r="G16" i="9"/>
  <c r="N16" i="9" s="1"/>
  <c r="L16" i="9"/>
  <c r="AB5" i="24"/>
  <c r="AB6" i="24"/>
  <c r="AB4" i="24"/>
  <c r="AB25" i="24"/>
  <c r="AB24" i="24"/>
  <c r="AA9" i="24"/>
  <c r="AA8" i="24"/>
  <c r="Z6" i="24"/>
  <c r="Z5" i="24"/>
  <c r="Z4" i="24"/>
  <c r="Z9" i="24" l="1"/>
  <c r="Z24" i="24"/>
  <c r="Z25" i="24"/>
  <c r="Z8" i="24"/>
  <c r="N48" i="30"/>
  <c r="G47" i="30" l="1"/>
  <c r="G51" i="30" s="1"/>
  <c r="F16" i="32"/>
  <c r="F15" i="32"/>
  <c r="D28" i="30"/>
  <c r="F95" i="33"/>
  <c r="F94" i="33"/>
  <c r="F93" i="33"/>
  <c r="F92" i="33"/>
  <c r="F79" i="33" s="1"/>
  <c r="F49" i="33"/>
  <c r="E49" i="33"/>
  <c r="G38" i="33"/>
  <c r="F38" i="33"/>
  <c r="G1" i="33"/>
  <c r="K16" i="32" l="1"/>
  <c r="K15" i="32"/>
  <c r="G56" i="30"/>
  <c r="G58" i="33" s="1"/>
  <c r="G53" i="33"/>
  <c r="G53" i="23"/>
  <c r="G49" i="33"/>
  <c r="O47" i="30"/>
  <c r="F16" i="33"/>
  <c r="F82" i="33" s="1"/>
  <c r="D27" i="30"/>
  <c r="F15" i="33"/>
  <c r="G13" i="33"/>
  <c r="G79" i="33" s="1"/>
  <c r="H13" i="33"/>
  <c r="I13" i="33" s="1"/>
  <c r="F14" i="33"/>
  <c r="F18" i="33"/>
  <c r="F84" i="33" s="1"/>
  <c r="K15" i="33" l="1"/>
  <c r="F81" i="33"/>
  <c r="K16" i="33"/>
  <c r="K14" i="33"/>
  <c r="F80" i="33"/>
  <c r="K18" i="33"/>
  <c r="F22" i="33"/>
  <c r="F88" i="33" s="1"/>
  <c r="F20" i="33"/>
  <c r="F86" i="33" s="1"/>
  <c r="F21" i="33"/>
  <c r="F87" i="33" s="1"/>
  <c r="H14" i="33"/>
  <c r="I14" i="33" s="1"/>
  <c r="G14" i="33"/>
  <c r="G80" i="33" s="1"/>
  <c r="F19" i="33"/>
  <c r="F85" i="33" s="1"/>
  <c r="H18" i="33"/>
  <c r="I18" i="33" s="1"/>
  <c r="G18" i="33"/>
  <c r="G84" i="33" s="1"/>
  <c r="K19" i="33" l="1"/>
  <c r="K21" i="33"/>
  <c r="K20" i="33"/>
  <c r="G22" i="33"/>
  <c r="G88" i="33" s="1"/>
  <c r="H19" i="33"/>
  <c r="I19" i="33" s="1"/>
  <c r="G19" i="33"/>
  <c r="G85" i="33" s="1"/>
  <c r="H15" i="33"/>
  <c r="I15" i="33" s="1"/>
  <c r="G15" i="33"/>
  <c r="G81" i="33" s="1"/>
  <c r="H20" i="33" l="1"/>
  <c r="I20" i="33" s="1"/>
  <c r="G20" i="33"/>
  <c r="G86" i="33" s="1"/>
  <c r="H16" i="33"/>
  <c r="I16" i="33" s="1"/>
  <c r="G16" i="33"/>
  <c r="G82" i="33" s="1"/>
  <c r="H21" i="33" l="1"/>
  <c r="I21" i="33" s="1"/>
  <c r="G21" i="33"/>
  <c r="G87" i="33" s="1"/>
  <c r="D29" i="30" l="1"/>
  <c r="F57" i="32" l="1"/>
  <c r="F44" i="32" s="1"/>
  <c r="F56" i="32"/>
  <c r="F43" i="32" s="1"/>
  <c r="F55" i="32"/>
  <c r="F54" i="32"/>
  <c r="F41" i="32" s="1"/>
  <c r="G13" i="32"/>
  <c r="G1" i="32"/>
  <c r="G41" i="32" l="1"/>
  <c r="H13" i="32"/>
  <c r="I13" i="32" s="1"/>
  <c r="F14" i="32"/>
  <c r="F18" i="32"/>
  <c r="G21" i="31"/>
  <c r="F21" i="31"/>
  <c r="G1" i="31"/>
  <c r="F42" i="32" l="1"/>
  <c r="K14" i="32"/>
  <c r="F22" i="32"/>
  <c r="F46" i="32"/>
  <c r="K18" i="32"/>
  <c r="F21" i="32"/>
  <c r="F20" i="32"/>
  <c r="H14" i="32"/>
  <c r="I14" i="32" s="1"/>
  <c r="G14" i="32"/>
  <c r="G42" i="32" s="1"/>
  <c r="F19" i="32"/>
  <c r="H18" i="32"/>
  <c r="I18" i="32" s="1"/>
  <c r="G18" i="32"/>
  <c r="G46" i="32" s="1"/>
  <c r="G59" i="30"/>
  <c r="G49" i="23"/>
  <c r="F49" i="23"/>
  <c r="E49" i="23"/>
  <c r="G38" i="23"/>
  <c r="F38" i="23"/>
  <c r="N18" i="30"/>
  <c r="N20" i="30"/>
  <c r="N19" i="30"/>
  <c r="N15" i="30"/>
  <c r="N14" i="30"/>
  <c r="N13" i="30"/>
  <c r="N10" i="30"/>
  <c r="N9" i="30"/>
  <c r="N8" i="30"/>
  <c r="N59" i="30"/>
  <c r="G50" i="30"/>
  <c r="G49" i="30"/>
  <c r="O49" i="30" s="1"/>
  <c r="G48" i="30"/>
  <c r="O48" i="30" s="1"/>
  <c r="N50" i="30"/>
  <c r="N49" i="30"/>
  <c r="M49" i="30"/>
  <c r="M48" i="30"/>
  <c r="F39" i="30"/>
  <c r="F38" i="30"/>
  <c r="O37" i="30"/>
  <c r="N37" i="30"/>
  <c r="E37" i="30"/>
  <c r="F67" i="30"/>
  <c r="G52" i="30"/>
  <c r="O52" i="30" s="1"/>
  <c r="N52" i="30"/>
  <c r="E52" i="30"/>
  <c r="M52" i="30" s="1"/>
  <c r="F41" i="30"/>
  <c r="E41" i="30"/>
  <c r="M41" i="30" s="1"/>
  <c r="G1" i="30"/>
  <c r="F95" i="16"/>
  <c r="F94" i="16"/>
  <c r="F93" i="16"/>
  <c r="F92" i="16"/>
  <c r="M53" i="30" l="1"/>
  <c r="N38" i="30"/>
  <c r="G38" i="30"/>
  <c r="O38" i="30" s="1"/>
  <c r="N39" i="30"/>
  <c r="G39" i="30"/>
  <c r="G41" i="33" s="1"/>
  <c r="N41" i="30"/>
  <c r="G41" i="30"/>
  <c r="O41" i="30" s="1"/>
  <c r="F69" i="23"/>
  <c r="F69" i="33"/>
  <c r="G61" i="23"/>
  <c r="G61" i="33"/>
  <c r="F47" i="32"/>
  <c r="K19" i="32"/>
  <c r="F49" i="32"/>
  <c r="K21" i="32"/>
  <c r="O17" i="30"/>
  <c r="F48" i="32"/>
  <c r="K20" i="32"/>
  <c r="G22" i="32"/>
  <c r="G50" i="32" s="1"/>
  <c r="F50" i="32"/>
  <c r="O10" i="30"/>
  <c r="O7" i="30"/>
  <c r="E42" i="30"/>
  <c r="M42" i="30" s="1"/>
  <c r="M37" i="30"/>
  <c r="G62" i="30"/>
  <c r="M62" i="30"/>
  <c r="O59" i="30"/>
  <c r="G65" i="30"/>
  <c r="M65" i="30"/>
  <c r="G61" i="30"/>
  <c r="M61" i="30"/>
  <c r="G67" i="30"/>
  <c r="M67" i="30"/>
  <c r="O12" i="30"/>
  <c r="G60" i="30"/>
  <c r="M60" i="30"/>
  <c r="G55" i="30"/>
  <c r="O55" i="30" s="1"/>
  <c r="O50" i="30"/>
  <c r="E54" i="23"/>
  <c r="G54" i="23"/>
  <c r="O20" i="30"/>
  <c r="G52" i="23"/>
  <c r="G40" i="33"/>
  <c r="G50" i="23"/>
  <c r="G43" i="33"/>
  <c r="F54" i="33"/>
  <c r="G39" i="33"/>
  <c r="E51" i="33"/>
  <c r="N53" i="30"/>
  <c r="F50" i="33"/>
  <c r="N55" i="30"/>
  <c r="F52" i="33"/>
  <c r="G54" i="30"/>
  <c r="O54" i="30" s="1"/>
  <c r="G51" i="33"/>
  <c r="O13" i="30"/>
  <c r="O14" i="30"/>
  <c r="O15" i="30"/>
  <c r="G41" i="23"/>
  <c r="G40" i="23"/>
  <c r="G39" i="23"/>
  <c r="E51" i="23"/>
  <c r="G51" i="23"/>
  <c r="F43" i="33"/>
  <c r="E54" i="33"/>
  <c r="G54" i="33"/>
  <c r="F42" i="30"/>
  <c r="F39" i="33"/>
  <c r="F43" i="30"/>
  <c r="F40" i="33"/>
  <c r="F44" i="30"/>
  <c r="F41" i="33"/>
  <c r="E50" i="33"/>
  <c r="E52" i="33"/>
  <c r="N54" i="30"/>
  <c r="F51" i="33"/>
  <c r="G53" i="30"/>
  <c r="O53" i="30" s="1"/>
  <c r="G50" i="33"/>
  <c r="G52" i="33"/>
  <c r="F43" i="23"/>
  <c r="F41" i="23"/>
  <c r="F40" i="23"/>
  <c r="F39" i="23"/>
  <c r="E52" i="23"/>
  <c r="E50" i="23"/>
  <c r="F54" i="23"/>
  <c r="F52" i="23"/>
  <c r="F51" i="23"/>
  <c r="F50" i="23"/>
  <c r="H19" i="32"/>
  <c r="I19" i="32" s="1"/>
  <c r="G19" i="32"/>
  <c r="G47" i="32" s="1"/>
  <c r="H15" i="32"/>
  <c r="I15" i="32" s="1"/>
  <c r="G15" i="32"/>
  <c r="G43" i="32" s="1"/>
  <c r="F61" i="30"/>
  <c r="O8" i="30"/>
  <c r="O9" i="30"/>
  <c r="P13" i="30"/>
  <c r="O18" i="30"/>
  <c r="O19" i="30"/>
  <c r="N67" i="30"/>
  <c r="F65" i="30"/>
  <c r="F62" i="30"/>
  <c r="F60" i="30"/>
  <c r="M54" i="30"/>
  <c r="G43" i="23" l="1"/>
  <c r="O39" i="30"/>
  <c r="E55" i="23"/>
  <c r="E55" i="33"/>
  <c r="N44" i="30"/>
  <c r="G44" i="30"/>
  <c r="G46" i="33" s="1"/>
  <c r="N42" i="30"/>
  <c r="G42" i="30"/>
  <c r="O42" i="30" s="1"/>
  <c r="N43" i="30"/>
  <c r="G43" i="30"/>
  <c r="N62" i="30"/>
  <c r="F64" i="33"/>
  <c r="F64" i="23"/>
  <c r="N61" i="30"/>
  <c r="F63" i="23"/>
  <c r="F63" i="33"/>
  <c r="O60" i="30"/>
  <c r="G62" i="33"/>
  <c r="G62" i="23"/>
  <c r="O67" i="30"/>
  <c r="G69" i="23"/>
  <c r="G69" i="33"/>
  <c r="O61" i="30"/>
  <c r="G63" i="23"/>
  <c r="G63" i="33"/>
  <c r="O65" i="30"/>
  <c r="G67" i="23"/>
  <c r="G67" i="33"/>
  <c r="N60" i="30"/>
  <c r="F62" i="33"/>
  <c r="F62" i="23"/>
  <c r="N65" i="30"/>
  <c r="F67" i="23"/>
  <c r="F67" i="33"/>
  <c r="P14" i="30"/>
  <c r="O62" i="30"/>
  <c r="G64" i="33"/>
  <c r="G64" i="23"/>
  <c r="Q12" i="30"/>
  <c r="P7" i="30"/>
  <c r="E29" i="32"/>
  <c r="M29" i="32" s="1"/>
  <c r="E30" i="30"/>
  <c r="F30" i="30"/>
  <c r="P17" i="30"/>
  <c r="P15" i="30"/>
  <c r="P12" i="30"/>
  <c r="G66" i="30"/>
  <c r="M66" i="30"/>
  <c r="G45" i="33"/>
  <c r="O43" i="30"/>
  <c r="G57" i="23"/>
  <c r="G57" i="33"/>
  <c r="E27" i="30"/>
  <c r="E29" i="33"/>
  <c r="E28" i="30"/>
  <c r="E29" i="30"/>
  <c r="F27" i="30"/>
  <c r="F28" i="30"/>
  <c r="G45" i="23"/>
  <c r="E56" i="33"/>
  <c r="E56" i="23"/>
  <c r="G55" i="33"/>
  <c r="G55" i="23"/>
  <c r="F56" i="33"/>
  <c r="F56" i="23"/>
  <c r="F46" i="33"/>
  <c r="F46" i="23"/>
  <c r="F45" i="33"/>
  <c r="F45" i="23"/>
  <c r="F44" i="33"/>
  <c r="F44" i="23"/>
  <c r="G56" i="33"/>
  <c r="G56" i="23"/>
  <c r="F57" i="33"/>
  <c r="F57" i="23"/>
  <c r="F55" i="33"/>
  <c r="F55" i="23"/>
  <c r="E57" i="33"/>
  <c r="E57" i="23"/>
  <c r="H16" i="32"/>
  <c r="I16" i="32" s="1"/>
  <c r="G16" i="32"/>
  <c r="G44" i="32" s="1"/>
  <c r="H20" i="32"/>
  <c r="I20" i="32" s="1"/>
  <c r="G20" i="32"/>
  <c r="G48" i="32" s="1"/>
  <c r="P20" i="30"/>
  <c r="P19" i="30"/>
  <c r="P18" i="30"/>
  <c r="F66" i="30"/>
  <c r="Q15" i="30"/>
  <c r="Q14" i="30"/>
  <c r="Q13" i="30"/>
  <c r="P8" i="30"/>
  <c r="P10" i="30"/>
  <c r="P9" i="30"/>
  <c r="F29" i="30" l="1"/>
  <c r="G44" i="23"/>
  <c r="F29" i="33"/>
  <c r="G44" i="33"/>
  <c r="F29" i="32"/>
  <c r="N29" i="32" s="1"/>
  <c r="O44" i="30"/>
  <c r="G46" i="23"/>
  <c r="N66" i="30"/>
  <c r="F68" i="33"/>
  <c r="F68" i="23"/>
  <c r="O66" i="30"/>
  <c r="G68" i="33"/>
  <c r="G68" i="23"/>
  <c r="Q7" i="30"/>
  <c r="F33" i="33"/>
  <c r="F33" i="32"/>
  <c r="E33" i="33"/>
  <c r="E33" i="32"/>
  <c r="Q17" i="30"/>
  <c r="F32" i="33"/>
  <c r="F32" i="32"/>
  <c r="N32" i="32" s="1"/>
  <c r="E32" i="33"/>
  <c r="E32" i="32"/>
  <c r="M32" i="32" s="1"/>
  <c r="E31" i="32"/>
  <c r="M31" i="32" s="1"/>
  <c r="E31" i="33"/>
  <c r="F31" i="33"/>
  <c r="F31" i="32"/>
  <c r="N31" i="32" s="1"/>
  <c r="F30" i="32"/>
  <c r="N30" i="32" s="1"/>
  <c r="F30" i="33"/>
  <c r="E30" i="32"/>
  <c r="M30" i="32" s="1"/>
  <c r="E30" i="33"/>
  <c r="H21" i="32"/>
  <c r="I21" i="32" s="1"/>
  <c r="G21" i="32"/>
  <c r="G49" i="32" s="1"/>
  <c r="Q20" i="30"/>
  <c r="Q19" i="30"/>
  <c r="Q18" i="30"/>
  <c r="Q9" i="30"/>
  <c r="Q8" i="30"/>
  <c r="Q10" i="30"/>
  <c r="G29" i="30" l="1"/>
  <c r="G32" i="32" s="1"/>
  <c r="O32" i="32" s="1"/>
  <c r="G30" i="30"/>
  <c r="G28" i="30"/>
  <c r="G31" i="32" s="1"/>
  <c r="O31" i="32" s="1"/>
  <c r="G27" i="30"/>
  <c r="G30" i="33" s="1"/>
  <c r="G29" i="32"/>
  <c r="O29" i="32" s="1"/>
  <c r="G29" i="33"/>
  <c r="G31" i="33"/>
  <c r="G1" i="29"/>
  <c r="G32" i="33" l="1"/>
  <c r="G33" i="33"/>
  <c r="G33" i="32"/>
  <c r="G30" i="32"/>
  <c r="O30" i="32" s="1"/>
  <c r="G1" i="22"/>
  <c r="D30" i="25" l="1"/>
  <c r="D31" i="25"/>
  <c r="D32" i="25"/>
  <c r="D29" i="25"/>
  <c r="D30" i="19"/>
  <c r="D31" i="19"/>
  <c r="D32" i="19"/>
  <c r="D29" i="19"/>
  <c r="D30" i="18"/>
  <c r="D31" i="18"/>
  <c r="D32" i="18"/>
  <c r="D29" i="18"/>
  <c r="N43" i="16"/>
  <c r="N42" i="16"/>
  <c r="N41" i="16"/>
  <c r="D39" i="20"/>
  <c r="D39" i="25" s="1"/>
  <c r="D34" i="20"/>
  <c r="D34" i="25" s="1"/>
  <c r="D62" i="24"/>
  <c r="D61" i="24"/>
  <c r="B14" i="24"/>
  <c r="P28" i="24" s="1"/>
  <c r="E33" i="20" l="1"/>
  <c r="E29" i="20"/>
  <c r="E29" i="25" s="1"/>
  <c r="O30" i="16"/>
  <c r="O42" i="16"/>
  <c r="O43" i="16"/>
  <c r="E34" i="20"/>
  <c r="E34" i="25" s="1"/>
  <c r="E39" i="20"/>
  <c r="E39" i="25" s="1"/>
  <c r="E30" i="20"/>
  <c r="O41" i="16"/>
  <c r="D39" i="18"/>
  <c r="D34" i="18"/>
  <c r="D39" i="19"/>
  <c r="D34" i="19"/>
  <c r="D36" i="20"/>
  <c r="D41" i="20"/>
  <c r="E42" i="20"/>
  <c r="D37" i="20"/>
  <c r="D35" i="20"/>
  <c r="D42" i="20"/>
  <c r="D40" i="20"/>
  <c r="E38" i="20" l="1"/>
  <c r="E38" i="18" s="1"/>
  <c r="E36" i="20"/>
  <c r="E36" i="19" s="1"/>
  <c r="E43" i="20"/>
  <c r="E43" i="18" s="1"/>
  <c r="E41" i="20"/>
  <c r="E41" i="19" s="1"/>
  <c r="P30" i="16"/>
  <c r="E33" i="25"/>
  <c r="E33" i="19"/>
  <c r="E33" i="18"/>
  <c r="E29" i="23"/>
  <c r="E29" i="19"/>
  <c r="E29" i="18"/>
  <c r="E35" i="20"/>
  <c r="E35" i="25" s="1"/>
  <c r="P35" i="16"/>
  <c r="P43" i="16"/>
  <c r="E34" i="18"/>
  <c r="P42" i="16"/>
  <c r="P41" i="16"/>
  <c r="F29" i="21"/>
  <c r="F29" i="23" s="1"/>
  <c r="E40" i="20"/>
  <c r="E40" i="19" s="1"/>
  <c r="E37" i="20"/>
  <c r="E37" i="18" s="1"/>
  <c r="E31" i="20"/>
  <c r="E31" i="19" s="1"/>
  <c r="E34" i="19"/>
  <c r="F34" i="20"/>
  <c r="F29" i="20"/>
  <c r="F48" i="20" s="1"/>
  <c r="E39" i="19"/>
  <c r="Q42" i="16"/>
  <c r="G29" i="21"/>
  <c r="G29" i="23" s="1"/>
  <c r="Q43" i="16"/>
  <c r="Q41" i="16"/>
  <c r="E32" i="20"/>
  <c r="E32" i="25" s="1"/>
  <c r="F39" i="20"/>
  <c r="E39" i="18"/>
  <c r="D42" i="25"/>
  <c r="D42" i="19"/>
  <c r="D42" i="18"/>
  <c r="D37" i="25"/>
  <c r="D37" i="19"/>
  <c r="D37" i="18"/>
  <c r="D36" i="25"/>
  <c r="D36" i="19"/>
  <c r="D36" i="18"/>
  <c r="E36" i="25"/>
  <c r="E30" i="25"/>
  <c r="E30" i="19"/>
  <c r="E30" i="18"/>
  <c r="D40" i="25"/>
  <c r="D40" i="18"/>
  <c r="D40" i="19"/>
  <c r="D35" i="25"/>
  <c r="D35" i="19"/>
  <c r="D35" i="18"/>
  <c r="E42" i="25"/>
  <c r="E42" i="19"/>
  <c r="E42" i="18"/>
  <c r="D41" i="25"/>
  <c r="D41" i="18"/>
  <c r="D41" i="19"/>
  <c r="F17" i="24"/>
  <c r="T31" i="24" s="1"/>
  <c r="B17" i="24"/>
  <c r="P31" i="24" s="1"/>
  <c r="E18" i="24"/>
  <c r="S32" i="24" s="1"/>
  <c r="K30" i="24"/>
  <c r="E38" i="19" l="1"/>
  <c r="E43" i="25"/>
  <c r="E38" i="25"/>
  <c r="E36" i="18"/>
  <c r="E41" i="25"/>
  <c r="E43" i="19"/>
  <c r="E35" i="19"/>
  <c r="E41" i="18"/>
  <c r="E35" i="18"/>
  <c r="G38" i="20"/>
  <c r="F33" i="20"/>
  <c r="F43" i="20"/>
  <c r="F38" i="20"/>
  <c r="E21" i="24"/>
  <c r="S35" i="24" s="1"/>
  <c r="F18" i="24"/>
  <c r="G33" i="20"/>
  <c r="G43" i="20"/>
  <c r="E31" i="18"/>
  <c r="E31" i="25"/>
  <c r="E37" i="25"/>
  <c r="G39" i="20"/>
  <c r="G39" i="25" s="1"/>
  <c r="Q30" i="16"/>
  <c r="F31" i="20"/>
  <c r="F31" i="18" s="1"/>
  <c r="Q35" i="16"/>
  <c r="E40" i="18"/>
  <c r="E40" i="25"/>
  <c r="E37" i="19"/>
  <c r="F37" i="20"/>
  <c r="F32" i="20"/>
  <c r="F39" i="25"/>
  <c r="F39" i="18"/>
  <c r="F39" i="19"/>
  <c r="G29" i="20"/>
  <c r="F36" i="20"/>
  <c r="F29" i="25"/>
  <c r="F29" i="18"/>
  <c r="F29" i="19"/>
  <c r="F34" i="25"/>
  <c r="F34" i="18"/>
  <c r="F34" i="19"/>
  <c r="E32" i="18"/>
  <c r="F35" i="20"/>
  <c r="F30" i="20"/>
  <c r="E32" i="19"/>
  <c r="G34" i="20"/>
  <c r="E19" i="24"/>
  <c r="E20" i="24"/>
  <c r="S34" i="24" s="1"/>
  <c r="I34" i="24"/>
  <c r="I33" i="24"/>
  <c r="I32" i="24"/>
  <c r="I31" i="24"/>
  <c r="F19" i="24" l="1"/>
  <c r="T33" i="24" s="1"/>
  <c r="S33" i="24"/>
  <c r="F13" i="20"/>
  <c r="F17" i="20" s="1"/>
  <c r="T32" i="24"/>
  <c r="G43" i="25"/>
  <c r="G43" i="19"/>
  <c r="G43" i="18"/>
  <c r="F38" i="25"/>
  <c r="F38" i="19"/>
  <c r="F38" i="18"/>
  <c r="F52" i="20"/>
  <c r="F33" i="25"/>
  <c r="F33" i="19"/>
  <c r="F33" i="18"/>
  <c r="G52" i="20"/>
  <c r="G33" i="25"/>
  <c r="G33" i="19"/>
  <c r="G33" i="18"/>
  <c r="F43" i="25"/>
  <c r="F43" i="19"/>
  <c r="F43" i="18"/>
  <c r="G38" i="25"/>
  <c r="G38" i="19"/>
  <c r="G38" i="18"/>
  <c r="G39" i="18"/>
  <c r="F31" i="25"/>
  <c r="F31" i="19"/>
  <c r="G39" i="19"/>
  <c r="G31" i="20"/>
  <c r="G31" i="18" s="1"/>
  <c r="G30" i="20"/>
  <c r="G30" i="18" s="1"/>
  <c r="G35" i="20"/>
  <c r="G35" i="18" s="1"/>
  <c r="G37" i="20"/>
  <c r="G32" i="20"/>
  <c r="G51" i="20" s="1"/>
  <c r="G29" i="25"/>
  <c r="G29" i="18"/>
  <c r="G29" i="19"/>
  <c r="F35" i="25"/>
  <c r="F35" i="18"/>
  <c r="F35" i="19"/>
  <c r="F30" i="25"/>
  <c r="F30" i="18"/>
  <c r="F30" i="19"/>
  <c r="G34" i="25"/>
  <c r="G34" i="19"/>
  <c r="G34" i="18"/>
  <c r="F37" i="25"/>
  <c r="F37" i="18"/>
  <c r="F37" i="19"/>
  <c r="F32" i="25"/>
  <c r="F32" i="18"/>
  <c r="F32" i="19"/>
  <c r="G36" i="20"/>
  <c r="F36" i="25"/>
  <c r="F36" i="18"/>
  <c r="F36" i="19"/>
  <c r="I8" i="24"/>
  <c r="H8" i="24"/>
  <c r="G29" i="12"/>
  <c r="G60" i="12" s="1"/>
  <c r="J60" i="12" s="1"/>
  <c r="G9" i="12"/>
  <c r="G12" i="12" s="1"/>
  <c r="E6" i="24"/>
  <c r="E5" i="24"/>
  <c r="E4" i="24"/>
  <c r="H9" i="24"/>
  <c r="I9" i="24"/>
  <c r="G9" i="24"/>
  <c r="F9" i="24"/>
  <c r="G8" i="24"/>
  <c r="F8" i="24"/>
  <c r="B5" i="24"/>
  <c r="B6" i="24"/>
  <c r="B4" i="24"/>
  <c r="C9" i="24"/>
  <c r="AB9" i="24" s="1"/>
  <c r="C8" i="24"/>
  <c r="F13" i="15"/>
  <c r="F103" i="25"/>
  <c r="F102" i="25"/>
  <c r="F101" i="25"/>
  <c r="F100" i="25"/>
  <c r="G1" i="25"/>
  <c r="G45" i="12" l="1"/>
  <c r="J12" i="12"/>
  <c r="J9" i="12"/>
  <c r="E31" i="9"/>
  <c r="K13" i="20"/>
  <c r="G19" i="12"/>
  <c r="G22" i="12" s="1"/>
  <c r="G24" i="12" s="1"/>
  <c r="J16" i="12"/>
  <c r="G32" i="12"/>
  <c r="J32" i="12" s="1"/>
  <c r="J29" i="12"/>
  <c r="H17" i="24"/>
  <c r="V31" i="24" s="1"/>
  <c r="AB8" i="24"/>
  <c r="AB10" i="24" s="1"/>
  <c r="G52" i="12"/>
  <c r="J52" i="12" s="1"/>
  <c r="E31" i="15"/>
  <c r="F31" i="15" s="1"/>
  <c r="K13" i="15"/>
  <c r="F17" i="15"/>
  <c r="H17" i="15" s="1"/>
  <c r="I17" i="15" s="1"/>
  <c r="F91" i="20"/>
  <c r="G17" i="20"/>
  <c r="G30" i="25"/>
  <c r="G31" i="25"/>
  <c r="G31" i="19"/>
  <c r="G30" i="19"/>
  <c r="G35" i="25"/>
  <c r="G35" i="19"/>
  <c r="G36" i="25"/>
  <c r="G36" i="19"/>
  <c r="G36" i="18"/>
  <c r="G32" i="18"/>
  <c r="G32" i="25"/>
  <c r="G32" i="19"/>
  <c r="B13" i="22"/>
  <c r="C13" i="22" s="1"/>
  <c r="Q13" i="22" s="1"/>
  <c r="F16" i="15"/>
  <c r="F15" i="15"/>
  <c r="B8" i="24"/>
  <c r="G37" i="25"/>
  <c r="G37" i="18"/>
  <c r="G37" i="19"/>
  <c r="G17" i="24"/>
  <c r="U31" i="24" s="1"/>
  <c r="G14" i="24"/>
  <c r="U28" i="24" s="1"/>
  <c r="L21" i="24"/>
  <c r="L18" i="24"/>
  <c r="L20" i="24"/>
  <c r="L17" i="24"/>
  <c r="L15" i="24"/>
  <c r="N24" i="24"/>
  <c r="N21" i="24"/>
  <c r="N18" i="24"/>
  <c r="N20" i="24"/>
  <c r="N14" i="24"/>
  <c r="N16" i="24"/>
  <c r="K21" i="24"/>
  <c r="K19" i="24"/>
  <c r="K24" i="24"/>
  <c r="K20" i="24"/>
  <c r="K18" i="24"/>
  <c r="K16" i="24"/>
  <c r="K15" i="24"/>
  <c r="M20" i="24"/>
  <c r="M24" i="24"/>
  <c r="M21" i="24"/>
  <c r="M15" i="24"/>
  <c r="M17" i="24"/>
  <c r="M18" i="24"/>
  <c r="E8" i="24"/>
  <c r="G35" i="12"/>
  <c r="B9" i="24"/>
  <c r="E9" i="24"/>
  <c r="J35" i="12" l="1"/>
  <c r="G38" i="12"/>
  <c r="J38" i="12" s="1"/>
  <c r="G47" i="12"/>
  <c r="G75" i="12"/>
  <c r="J45" i="12"/>
  <c r="J19" i="12"/>
  <c r="K15" i="15"/>
  <c r="G91" i="20"/>
  <c r="E50" i="18"/>
  <c r="E59" i="20"/>
  <c r="F59" i="20" s="1"/>
  <c r="E45" i="9"/>
  <c r="F31" i="9"/>
  <c r="K16" i="15"/>
  <c r="G17" i="15"/>
  <c r="E78" i="23"/>
  <c r="E51" i="16"/>
  <c r="E56" i="16" s="1"/>
  <c r="E36" i="15"/>
  <c r="E83" i="23" s="1"/>
  <c r="E45" i="15"/>
  <c r="D13" i="22"/>
  <c r="R13" i="22" s="1"/>
  <c r="G13" i="22"/>
  <c r="U13" i="22" s="1"/>
  <c r="E13" i="22"/>
  <c r="S13" i="22" s="1"/>
  <c r="H13" i="22"/>
  <c r="V13" i="22" s="1"/>
  <c r="F13" i="22"/>
  <c r="T13" i="22" s="1"/>
  <c r="F15" i="9"/>
  <c r="G13" i="9"/>
  <c r="N13" i="9" s="1"/>
  <c r="B12" i="22"/>
  <c r="J19" i="24"/>
  <c r="J14" i="24"/>
  <c r="J16" i="24"/>
  <c r="G76" i="12" l="1"/>
  <c r="J75" i="12"/>
  <c r="G49" i="12"/>
  <c r="J49" i="12" s="1"/>
  <c r="J47" i="12"/>
  <c r="J22" i="12"/>
  <c r="G56" i="12"/>
  <c r="J56" i="12" s="1"/>
  <c r="G25" i="12"/>
  <c r="J25" i="12" s="1"/>
  <c r="G31" i="9"/>
  <c r="G45" i="9"/>
  <c r="F45" i="9"/>
  <c r="E73" i="20"/>
  <c r="F73" i="20" s="1"/>
  <c r="E65" i="16"/>
  <c r="E70" i="16" s="1"/>
  <c r="E92" i="23"/>
  <c r="E50" i="15"/>
  <c r="E97" i="23" s="1"/>
  <c r="F45" i="15"/>
  <c r="L15" i="9"/>
  <c r="G12" i="22"/>
  <c r="U12" i="22" s="1"/>
  <c r="D12" i="22"/>
  <c r="R12" i="22" s="1"/>
  <c r="H12" i="22"/>
  <c r="V12" i="22" s="1"/>
  <c r="E12" i="22"/>
  <c r="S12" i="22" s="1"/>
  <c r="C12" i="22"/>
  <c r="Q12" i="22" s="1"/>
  <c r="F12" i="22"/>
  <c r="T12" i="22" s="1"/>
  <c r="F15" i="24"/>
  <c r="T29" i="24" s="1"/>
  <c r="F122" i="23"/>
  <c r="F121" i="23"/>
  <c r="F120" i="23"/>
  <c r="F119" i="23"/>
  <c r="E114" i="23"/>
  <c r="K114" i="23" s="1"/>
  <c r="E113" i="23"/>
  <c r="K113" i="23" s="1"/>
  <c r="E112" i="23"/>
  <c r="K112" i="23" s="1"/>
  <c r="E111" i="23"/>
  <c r="K111" i="23" s="1"/>
  <c r="G1" i="23"/>
  <c r="G13" i="15"/>
  <c r="G88" i="12" l="1"/>
  <c r="J76" i="12"/>
  <c r="G31" i="15"/>
  <c r="G45" i="15"/>
  <c r="G15" i="24"/>
  <c r="U29" i="24" s="1"/>
  <c r="H15" i="24"/>
  <c r="V29" i="24" s="1"/>
  <c r="J88" i="12" l="1"/>
  <c r="G11" i="29"/>
  <c r="H13" i="9"/>
  <c r="I11" i="29" l="1"/>
  <c r="G14" i="29"/>
  <c r="I14" i="29" s="1"/>
  <c r="G15" i="29"/>
  <c r="I15" i="29" s="1"/>
  <c r="I13" i="9"/>
  <c r="R13" i="9" s="1"/>
  <c r="P13" i="9"/>
  <c r="F121" i="21"/>
  <c r="F120" i="21"/>
  <c r="F119" i="21"/>
  <c r="F118" i="21"/>
  <c r="G54" i="21"/>
  <c r="O54" i="21" s="1"/>
  <c r="F54" i="21"/>
  <c r="N54" i="21" s="1"/>
  <c r="E54" i="21"/>
  <c r="M54" i="21" s="1"/>
  <c r="G52" i="21"/>
  <c r="F52" i="21"/>
  <c r="E52" i="21"/>
  <c r="G51" i="21"/>
  <c r="F51" i="21"/>
  <c r="E51" i="21"/>
  <c r="G50" i="21"/>
  <c r="O50" i="21" s="1"/>
  <c r="F50" i="21"/>
  <c r="N50" i="21" s="1"/>
  <c r="E50" i="21"/>
  <c r="M50" i="21" s="1"/>
  <c r="G43" i="21"/>
  <c r="O43" i="21" s="1"/>
  <c r="F43" i="21"/>
  <c r="N43" i="21" s="1"/>
  <c r="E43" i="21"/>
  <c r="M43" i="21" s="1"/>
  <c r="G41" i="21"/>
  <c r="F41" i="21"/>
  <c r="E46" i="21"/>
  <c r="M46" i="21" s="1"/>
  <c r="G40" i="21"/>
  <c r="F40" i="21"/>
  <c r="E40" i="21"/>
  <c r="G39" i="21"/>
  <c r="O39" i="21" s="1"/>
  <c r="F39" i="21"/>
  <c r="N39" i="21" s="1"/>
  <c r="E39" i="21"/>
  <c r="M39" i="21" s="1"/>
  <c r="G32" i="21"/>
  <c r="G32" i="23" s="1"/>
  <c r="F32" i="21"/>
  <c r="F32" i="23" s="1"/>
  <c r="E32" i="23"/>
  <c r="G31" i="21"/>
  <c r="G31" i="23" s="1"/>
  <c r="F31" i="21"/>
  <c r="F31" i="23" s="1"/>
  <c r="E31" i="21"/>
  <c r="E31" i="23" s="1"/>
  <c r="G30" i="21"/>
  <c r="F30" i="21"/>
  <c r="G1" i="21"/>
  <c r="G48" i="20"/>
  <c r="F103" i="20"/>
  <c r="F102" i="20"/>
  <c r="F101" i="20"/>
  <c r="F100" i="20"/>
  <c r="F87" i="20" s="1"/>
  <c r="G1" i="20"/>
  <c r="F103" i="19"/>
  <c r="F102" i="19"/>
  <c r="F101" i="19"/>
  <c r="F100" i="19"/>
  <c r="G1" i="19"/>
  <c r="F94" i="18"/>
  <c r="F93" i="18"/>
  <c r="F92" i="18"/>
  <c r="F91" i="18"/>
  <c r="G1" i="18"/>
  <c r="K86" i="16"/>
  <c r="K87" i="16"/>
  <c r="K85" i="16"/>
  <c r="K84" i="16"/>
  <c r="F104" i="16"/>
  <c r="F101" i="16"/>
  <c r="G57" i="21" l="1"/>
  <c r="O57" i="21" s="1"/>
  <c r="O52" i="21"/>
  <c r="G56" i="21"/>
  <c r="O56" i="21" s="1"/>
  <c r="O51" i="21"/>
  <c r="F56" i="21"/>
  <c r="N56" i="21" s="1"/>
  <c r="N51" i="21"/>
  <c r="F57" i="21"/>
  <c r="N57" i="21" s="1"/>
  <c r="N52" i="21"/>
  <c r="E56" i="21"/>
  <c r="M56" i="21" s="1"/>
  <c r="M51" i="21"/>
  <c r="E57" i="21"/>
  <c r="M57" i="21" s="1"/>
  <c r="M52" i="21"/>
  <c r="G46" i="21"/>
  <c r="O46" i="21" s="1"/>
  <c r="O41" i="21"/>
  <c r="G45" i="21"/>
  <c r="O45" i="21" s="1"/>
  <c r="O40" i="21"/>
  <c r="F45" i="21"/>
  <c r="N45" i="21" s="1"/>
  <c r="N40" i="21"/>
  <c r="F46" i="21"/>
  <c r="N46" i="21" s="1"/>
  <c r="N41" i="21"/>
  <c r="E45" i="21"/>
  <c r="M45" i="21" s="1"/>
  <c r="M40" i="21"/>
  <c r="E44" i="21"/>
  <c r="M44" i="21" s="1"/>
  <c r="E42" i="21"/>
  <c r="G44" i="21"/>
  <c r="O44" i="21" s="1"/>
  <c r="G42" i="21"/>
  <c r="E55" i="21"/>
  <c r="M55" i="21" s="1"/>
  <c r="E53" i="21"/>
  <c r="G55" i="21"/>
  <c r="O55" i="21" s="1"/>
  <c r="G53" i="21"/>
  <c r="F44" i="21"/>
  <c r="N44" i="21" s="1"/>
  <c r="F42" i="21"/>
  <c r="F55" i="21"/>
  <c r="N55" i="21" s="1"/>
  <c r="F53" i="21"/>
  <c r="G30" i="23"/>
  <c r="G33" i="21"/>
  <c r="G33" i="23" s="1"/>
  <c r="F30" i="23"/>
  <c r="F33" i="21"/>
  <c r="F33" i="23" s="1"/>
  <c r="E30" i="23"/>
  <c r="E33" i="21"/>
  <c r="E33" i="23" s="1"/>
  <c r="E59" i="25"/>
  <c r="E59" i="19"/>
  <c r="E77" i="21"/>
  <c r="E36" i="9"/>
  <c r="G58" i="21" l="1"/>
  <c r="O58" i="21" s="1"/>
  <c r="O53" i="21"/>
  <c r="F58" i="21"/>
  <c r="N58" i="21" s="1"/>
  <c r="N53" i="21"/>
  <c r="E58" i="21"/>
  <c r="M58" i="21" s="1"/>
  <c r="M53" i="21"/>
  <c r="G47" i="21"/>
  <c r="O47" i="21" s="1"/>
  <c r="O42" i="21"/>
  <c r="F47" i="21"/>
  <c r="N47" i="21" s="1"/>
  <c r="N42" i="21"/>
  <c r="E47" i="21"/>
  <c r="M47" i="21" s="1"/>
  <c r="M42" i="21"/>
  <c r="E82" i="21"/>
  <c r="E64" i="25"/>
  <c r="E55" i="18"/>
  <c r="E64" i="20"/>
  <c r="E73" i="25"/>
  <c r="E64" i="18"/>
  <c r="E50" i="9"/>
  <c r="E73" i="19"/>
  <c r="E91" i="21"/>
  <c r="E64" i="19"/>
  <c r="E78" i="25" l="1"/>
  <c r="E78" i="20"/>
  <c r="E69" i="18"/>
  <c r="E96" i="21"/>
  <c r="E78" i="19"/>
  <c r="G42" i="20"/>
  <c r="F42" i="20"/>
  <c r="G41" i="20"/>
  <c r="F41" i="20"/>
  <c r="G40" i="20"/>
  <c r="F40" i="20"/>
  <c r="G1" i="16"/>
  <c r="F18" i="15"/>
  <c r="F14" i="15"/>
  <c r="H13" i="15"/>
  <c r="I13" i="15" s="1"/>
  <c r="G1" i="15"/>
  <c r="G1" i="9"/>
  <c r="H84" i="12"/>
  <c r="G83" i="12"/>
  <c r="G82" i="12"/>
  <c r="G81" i="12"/>
  <c r="G80" i="12"/>
  <c r="G78" i="12"/>
  <c r="G77" i="12"/>
  <c r="G36" i="12"/>
  <c r="G90" i="12"/>
  <c r="G89" i="12"/>
  <c r="H88" i="12"/>
  <c r="H76" i="12"/>
  <c r="H75" i="12"/>
  <c r="H49" i="12"/>
  <c r="H47" i="12"/>
  <c r="H45" i="12"/>
  <c r="H60" i="12"/>
  <c r="H56" i="12"/>
  <c r="H52" i="12"/>
  <c r="H38" i="12"/>
  <c r="H29" i="12"/>
  <c r="H25" i="12"/>
  <c r="H22" i="12"/>
  <c r="H19" i="12"/>
  <c r="H16" i="12"/>
  <c r="H12" i="12"/>
  <c r="H9" i="12"/>
  <c r="G66" i="12"/>
  <c r="G63" i="12"/>
  <c r="G69" i="12"/>
  <c r="G62" i="12"/>
  <c r="G61" i="12"/>
  <c r="G14" i="12"/>
  <c r="G13" i="12"/>
  <c r="G48" i="12"/>
  <c r="G46" i="12"/>
  <c r="G40" i="12"/>
  <c r="G34" i="12"/>
  <c r="G31" i="12"/>
  <c r="G30" i="12"/>
  <c r="G54" i="12"/>
  <c r="G53" i="12"/>
  <c r="G27" i="12"/>
  <c r="G26" i="12"/>
  <c r="G21" i="12"/>
  <c r="G20" i="12"/>
  <c r="G18" i="12"/>
  <c r="G17" i="12"/>
  <c r="G11" i="12"/>
  <c r="J11" i="12" s="1"/>
  <c r="G10" i="12"/>
  <c r="J10" i="12" s="1"/>
  <c r="G39" i="12"/>
  <c r="H39" i="12" l="1"/>
  <c r="J39" i="12"/>
  <c r="H40" i="12"/>
  <c r="J40" i="12"/>
  <c r="H90" i="12"/>
  <c r="J90" i="12"/>
  <c r="H89" i="12"/>
  <c r="J89" i="12"/>
  <c r="H78" i="12"/>
  <c r="J78" i="12"/>
  <c r="H77" i="12"/>
  <c r="J77" i="12"/>
  <c r="H61" i="12"/>
  <c r="J61" i="12"/>
  <c r="G67" i="12"/>
  <c r="J66" i="12"/>
  <c r="G64" i="12"/>
  <c r="J63" i="12"/>
  <c r="G70" i="12"/>
  <c r="J69" i="12"/>
  <c r="H62" i="12"/>
  <c r="J62" i="12"/>
  <c r="H48" i="12"/>
  <c r="J48" i="12"/>
  <c r="H46" i="12"/>
  <c r="J46" i="12"/>
  <c r="H14" i="12"/>
  <c r="J14" i="12"/>
  <c r="H13" i="12"/>
  <c r="J13" i="12"/>
  <c r="H17" i="12"/>
  <c r="J17" i="12"/>
  <c r="H30" i="12"/>
  <c r="J30" i="12"/>
  <c r="H36" i="12"/>
  <c r="J36" i="12"/>
  <c r="H81" i="12"/>
  <c r="J81" i="12"/>
  <c r="H21" i="12"/>
  <c r="J21" i="12"/>
  <c r="H20" i="12"/>
  <c r="J20" i="12"/>
  <c r="H53" i="12"/>
  <c r="J53" i="12"/>
  <c r="H34" i="12"/>
  <c r="J34" i="12"/>
  <c r="G85" i="12"/>
  <c r="J83" i="12"/>
  <c r="H26" i="12"/>
  <c r="J26" i="12"/>
  <c r="H54" i="12"/>
  <c r="J54" i="12"/>
  <c r="H80" i="12"/>
  <c r="J80" i="12"/>
  <c r="H18" i="12"/>
  <c r="J18" i="12"/>
  <c r="H27" i="12"/>
  <c r="J27" i="12"/>
  <c r="H31" i="12"/>
  <c r="J31" i="12"/>
  <c r="H82" i="12"/>
  <c r="J82" i="12"/>
  <c r="H11" i="12"/>
  <c r="E35" i="15"/>
  <c r="E35" i="9"/>
  <c r="E34" i="15"/>
  <c r="E32" i="15"/>
  <c r="F32" i="15" s="1"/>
  <c r="E34" i="9"/>
  <c r="E39" i="9" s="1"/>
  <c r="K18" i="15"/>
  <c r="F22" i="15"/>
  <c r="H22" i="15" s="1"/>
  <c r="I22" i="15" s="1"/>
  <c r="F36" i="15"/>
  <c r="F50" i="15"/>
  <c r="G14" i="15"/>
  <c r="K14" i="15"/>
  <c r="H83" i="12"/>
  <c r="G18" i="15"/>
  <c r="F21" i="15"/>
  <c r="F20" i="15"/>
  <c r="F40" i="25"/>
  <c r="F40" i="19"/>
  <c r="F40" i="18"/>
  <c r="F41" i="25"/>
  <c r="F41" i="19"/>
  <c r="F41" i="18"/>
  <c r="F42" i="25"/>
  <c r="F42" i="18"/>
  <c r="F42" i="19"/>
  <c r="G40" i="25"/>
  <c r="G40" i="19"/>
  <c r="G40" i="18"/>
  <c r="G41" i="25"/>
  <c r="G41" i="19"/>
  <c r="G41" i="18"/>
  <c r="G42" i="25"/>
  <c r="G42" i="19"/>
  <c r="G42" i="18"/>
  <c r="H10" i="12"/>
  <c r="E32" i="9"/>
  <c r="F50" i="20"/>
  <c r="H14" i="15"/>
  <c r="I14" i="15" s="1"/>
  <c r="H18" i="15"/>
  <c r="I18" i="15" s="1"/>
  <c r="F19" i="15"/>
  <c r="G15" i="15"/>
  <c r="G86" i="12"/>
  <c r="H66" i="12"/>
  <c r="H32" i="12"/>
  <c r="H35" i="12"/>
  <c r="H63" i="12"/>
  <c r="H69" i="12"/>
  <c r="G65" i="12"/>
  <c r="G68" i="12"/>
  <c r="G71" i="12"/>
  <c r="G33" i="12"/>
  <c r="G37" i="12"/>
  <c r="H70" i="12" l="1"/>
  <c r="J70" i="12"/>
  <c r="H67" i="12"/>
  <c r="J67" i="12"/>
  <c r="H64" i="12"/>
  <c r="J64" i="12"/>
  <c r="H65" i="12"/>
  <c r="J65" i="12"/>
  <c r="H68" i="12"/>
  <c r="J68" i="12"/>
  <c r="H71" i="12"/>
  <c r="J71" i="12"/>
  <c r="H37" i="12"/>
  <c r="J37" i="12"/>
  <c r="H85" i="12"/>
  <c r="J85" i="12"/>
  <c r="H86" i="12"/>
  <c r="J86" i="12"/>
  <c r="H33" i="12"/>
  <c r="J33" i="12"/>
  <c r="E85" i="21"/>
  <c r="E67" i="25"/>
  <c r="E67" i="19"/>
  <c r="E58" i="18"/>
  <c r="E67" i="20"/>
  <c r="K20" i="15"/>
  <c r="G36" i="15"/>
  <c r="G50" i="15"/>
  <c r="G22" i="15"/>
  <c r="E62" i="19"/>
  <c r="E53" i="18"/>
  <c r="E62" i="20"/>
  <c r="E80" i="21"/>
  <c r="E62" i="25"/>
  <c r="E48" i="9"/>
  <c r="F34" i="9"/>
  <c r="G34" i="9"/>
  <c r="E39" i="15"/>
  <c r="E86" i="23" s="1"/>
  <c r="E54" i="16"/>
  <c r="E59" i="16" s="1"/>
  <c r="E81" i="23"/>
  <c r="E48" i="15"/>
  <c r="F34" i="15"/>
  <c r="F40" i="15"/>
  <c r="E82" i="23"/>
  <c r="E55" i="16"/>
  <c r="E60" i="16" s="1"/>
  <c r="E49" i="15"/>
  <c r="E40" i="15"/>
  <c r="E87" i="23" s="1"/>
  <c r="F35" i="15"/>
  <c r="G35" i="15"/>
  <c r="E78" i="21"/>
  <c r="E60" i="25"/>
  <c r="E60" i="19"/>
  <c r="E51" i="18"/>
  <c r="E60" i="20"/>
  <c r="E46" i="9"/>
  <c r="K21" i="15"/>
  <c r="G32" i="15"/>
  <c r="E46" i="15"/>
  <c r="G46" i="15" s="1"/>
  <c r="E79" i="23"/>
  <c r="E52" i="16"/>
  <c r="E57" i="16" s="1"/>
  <c r="E37" i="15"/>
  <c r="E84" i="23" s="1"/>
  <c r="E33" i="15"/>
  <c r="E81" i="21"/>
  <c r="E63" i="25"/>
  <c r="E63" i="19"/>
  <c r="E54" i="18"/>
  <c r="E63" i="20"/>
  <c r="E49" i="9"/>
  <c r="E40" i="9"/>
  <c r="F35" i="9"/>
  <c r="G19" i="15"/>
  <c r="K19" i="15"/>
  <c r="E33" i="9"/>
  <c r="E37" i="9"/>
  <c r="F51" i="20"/>
  <c r="G49" i="20"/>
  <c r="G50" i="20"/>
  <c r="F49" i="20"/>
  <c r="G20" i="15"/>
  <c r="H19" i="15"/>
  <c r="I19" i="15" s="1"/>
  <c r="G16" i="15"/>
  <c r="H15" i="15"/>
  <c r="I15" i="15" s="1"/>
  <c r="G23" i="12"/>
  <c r="G58" i="12"/>
  <c r="G57" i="12"/>
  <c r="G1" i="12"/>
  <c r="F39" i="15" l="1"/>
  <c r="H24" i="12"/>
  <c r="J24" i="12"/>
  <c r="H58" i="12"/>
  <c r="J58" i="12"/>
  <c r="H23" i="12"/>
  <c r="J23" i="12"/>
  <c r="H57" i="12"/>
  <c r="J57" i="12"/>
  <c r="E83" i="21"/>
  <c r="E65" i="25"/>
  <c r="E65" i="19"/>
  <c r="E56" i="18"/>
  <c r="E65" i="20"/>
  <c r="E68" i="18"/>
  <c r="E95" i="21"/>
  <c r="E77" i="19"/>
  <c r="E77" i="25"/>
  <c r="E77" i="20"/>
  <c r="E54" i="9"/>
  <c r="F49" i="9"/>
  <c r="E80" i="23"/>
  <c r="E53" i="16"/>
  <c r="E58" i="16" s="1"/>
  <c r="E38" i="15"/>
  <c r="G38" i="15" s="1"/>
  <c r="F33" i="15"/>
  <c r="E93" i="23"/>
  <c r="E66" i="16"/>
  <c r="E71" i="16" s="1"/>
  <c r="E47" i="15"/>
  <c r="E51" i="15"/>
  <c r="G51" i="15" s="1"/>
  <c r="F46" i="15"/>
  <c r="E47" i="9"/>
  <c r="E74" i="25"/>
  <c r="E74" i="20"/>
  <c r="E65" i="18"/>
  <c r="F37" i="15"/>
  <c r="E95" i="23"/>
  <c r="E68" i="16"/>
  <c r="E73" i="16" s="1"/>
  <c r="E53" i="15"/>
  <c r="F48" i="15"/>
  <c r="G48" i="9"/>
  <c r="E94" i="21"/>
  <c r="E76" i="25"/>
  <c r="E76" i="20"/>
  <c r="E67" i="18"/>
  <c r="F48" i="9"/>
  <c r="G33" i="15"/>
  <c r="G34" i="15"/>
  <c r="G48" i="15"/>
  <c r="E79" i="21"/>
  <c r="E61" i="25"/>
  <c r="E61" i="19"/>
  <c r="E52" i="18"/>
  <c r="E61" i="20"/>
  <c r="G37" i="15"/>
  <c r="E86" i="21"/>
  <c r="E68" i="25"/>
  <c r="E59" i="18"/>
  <c r="E68" i="20"/>
  <c r="E68" i="19"/>
  <c r="F63" i="20"/>
  <c r="G63" i="20"/>
  <c r="E69" i="16"/>
  <c r="E74" i="16" s="1"/>
  <c r="E96" i="23"/>
  <c r="E54" i="15"/>
  <c r="G54" i="15" s="1"/>
  <c r="F49" i="15"/>
  <c r="G49" i="15"/>
  <c r="G40" i="15"/>
  <c r="F33" i="9"/>
  <c r="E76" i="19"/>
  <c r="E53" i="9"/>
  <c r="E92" i="21"/>
  <c r="E74" i="19"/>
  <c r="E51" i="9"/>
  <c r="E38" i="9"/>
  <c r="H16" i="15"/>
  <c r="I16" i="15" s="1"/>
  <c r="G21" i="15"/>
  <c r="H20" i="15"/>
  <c r="I20" i="15" s="1"/>
  <c r="F18" i="9"/>
  <c r="F14" i="9"/>
  <c r="G39" i="15" l="1"/>
  <c r="G53" i="15"/>
  <c r="E72" i="18"/>
  <c r="E81" i="25"/>
  <c r="E81" i="20"/>
  <c r="F32" i="9"/>
  <c r="F46" i="9"/>
  <c r="E79" i="25"/>
  <c r="E70" i="18"/>
  <c r="E79" i="20"/>
  <c r="E100" i="23"/>
  <c r="F53" i="15"/>
  <c r="E67" i="16"/>
  <c r="E72" i="16" s="1"/>
  <c r="E94" i="23"/>
  <c r="E52" i="15"/>
  <c r="F47" i="15"/>
  <c r="G47" i="15"/>
  <c r="E85" i="23"/>
  <c r="F38" i="15"/>
  <c r="E82" i="25"/>
  <c r="E100" i="21"/>
  <c r="E82" i="19"/>
  <c r="E82" i="20"/>
  <c r="E73" i="18"/>
  <c r="F36" i="9"/>
  <c r="F50" i="9"/>
  <c r="E57" i="18"/>
  <c r="E66" i="20"/>
  <c r="E84" i="21"/>
  <c r="E66" i="25"/>
  <c r="E66" i="19"/>
  <c r="E101" i="23"/>
  <c r="F54" i="15"/>
  <c r="F47" i="9"/>
  <c r="E75" i="25"/>
  <c r="E66" i="18"/>
  <c r="E75" i="20"/>
  <c r="E98" i="23"/>
  <c r="F51" i="15"/>
  <c r="G77" i="20"/>
  <c r="F77" i="20"/>
  <c r="L18" i="9"/>
  <c r="F22" i="9"/>
  <c r="H22" i="9" s="1"/>
  <c r="I22" i="9" s="1"/>
  <c r="G14" i="9"/>
  <c r="N14" i="9" s="1"/>
  <c r="L14" i="9"/>
  <c r="G18" i="9"/>
  <c r="N18" i="9" s="1"/>
  <c r="F21" i="9"/>
  <c r="F20" i="9"/>
  <c r="L20" i="9" s="1"/>
  <c r="F19" i="9"/>
  <c r="G19" i="9" s="1"/>
  <c r="E97" i="21"/>
  <c r="E79" i="19"/>
  <c r="E81" i="19"/>
  <c r="E99" i="21"/>
  <c r="E52" i="9"/>
  <c r="E93" i="21"/>
  <c r="E75" i="19"/>
  <c r="H14" i="9"/>
  <c r="H21" i="15"/>
  <c r="I21" i="15" s="1"/>
  <c r="H18" i="9"/>
  <c r="G15" i="9"/>
  <c r="N15" i="9" s="1"/>
  <c r="G37" i="9" l="1"/>
  <c r="N19" i="9"/>
  <c r="I18" i="9"/>
  <c r="R18" i="9" s="1"/>
  <c r="P18" i="9"/>
  <c r="I14" i="9"/>
  <c r="R14" i="9" s="1"/>
  <c r="P14" i="9"/>
  <c r="L19" i="9"/>
  <c r="F37" i="9"/>
  <c r="G47" i="9"/>
  <c r="G33" i="9"/>
  <c r="E80" i="25"/>
  <c r="E80" i="20"/>
  <c r="E71" i="18"/>
  <c r="G36" i="9"/>
  <c r="G50" i="9"/>
  <c r="G46" i="9"/>
  <c r="G32" i="9"/>
  <c r="F38" i="9"/>
  <c r="F51" i="9"/>
  <c r="L21" i="9"/>
  <c r="F39" i="9"/>
  <c r="G22" i="9"/>
  <c r="F40" i="9"/>
  <c r="F54" i="9"/>
  <c r="F53" i="9"/>
  <c r="G51" i="9"/>
  <c r="E99" i="23"/>
  <c r="F52" i="15"/>
  <c r="G52" i="15"/>
  <c r="F52" i="9"/>
  <c r="E98" i="21"/>
  <c r="E80" i="19"/>
  <c r="H15" i="9"/>
  <c r="H19" i="9"/>
  <c r="G20" i="9"/>
  <c r="G17" i="9"/>
  <c r="G38" i="9" l="1"/>
  <c r="N20" i="9"/>
  <c r="I15" i="9"/>
  <c r="R15" i="9" s="1"/>
  <c r="P15" i="9"/>
  <c r="I19" i="9"/>
  <c r="R19" i="9" s="1"/>
  <c r="P19" i="9"/>
  <c r="G52" i="9"/>
  <c r="G35" i="9"/>
  <c r="G49" i="9"/>
  <c r="G40" i="9"/>
  <c r="G54" i="9"/>
  <c r="H17" i="9"/>
  <c r="I17" i="9" s="1"/>
  <c r="H20" i="9"/>
  <c r="G21" i="9"/>
  <c r="N21" i="9" s="1"/>
  <c r="I20" i="9" l="1"/>
  <c r="R20" i="9" s="1"/>
  <c r="P20" i="9"/>
  <c r="G39" i="9"/>
  <c r="G53" i="9"/>
  <c r="H21" i="9"/>
  <c r="I21" i="9" l="1"/>
  <c r="R21" i="9" s="1"/>
  <c r="P21" i="9"/>
  <c r="F16" i="24"/>
  <c r="T30" i="24" s="1"/>
  <c r="B19" i="24"/>
  <c r="P33" i="24" s="1"/>
  <c r="D20" i="24"/>
  <c r="R34" i="24" s="1"/>
  <c r="B18" i="24"/>
  <c r="P32" i="24" s="1"/>
  <c r="D21" i="24"/>
  <c r="R35" i="24" s="1"/>
  <c r="B16" i="24"/>
  <c r="P30" i="24" s="1"/>
  <c r="F65" i="16" l="1"/>
  <c r="F17" i="16"/>
  <c r="H17" i="16" s="1"/>
  <c r="I17" i="16" s="1"/>
  <c r="F79" i="16"/>
  <c r="F51" i="16"/>
  <c r="K13" i="16"/>
  <c r="F15" i="16"/>
  <c r="F16" i="16"/>
  <c r="G13" i="16"/>
  <c r="B11" i="22"/>
  <c r="G16" i="24"/>
  <c r="U30" i="24" s="1"/>
  <c r="H16" i="24"/>
  <c r="V30" i="24" s="1"/>
  <c r="G25" i="24"/>
  <c r="B24" i="24"/>
  <c r="F24" i="24"/>
  <c r="F14" i="16"/>
  <c r="F18" i="16"/>
  <c r="H13" i="16"/>
  <c r="I13" i="16" s="1"/>
  <c r="F21" i="24"/>
  <c r="T35" i="24" s="1"/>
  <c r="B21" i="24"/>
  <c r="P35" i="24" s="1"/>
  <c r="F20" i="24"/>
  <c r="T34" i="24" s="1"/>
  <c r="B20" i="24"/>
  <c r="P34" i="24" s="1"/>
  <c r="B25" i="24"/>
  <c r="K15" i="16" l="1"/>
  <c r="N32" i="16" s="1"/>
  <c r="F67" i="16"/>
  <c r="F81" i="16"/>
  <c r="F53" i="16"/>
  <c r="F83" i="16"/>
  <c r="F69" i="16"/>
  <c r="F55" i="16"/>
  <c r="K16" i="16"/>
  <c r="F68" i="16"/>
  <c r="F82" i="16"/>
  <c r="F54" i="16"/>
  <c r="F66" i="16"/>
  <c r="F80" i="16"/>
  <c r="F52" i="16"/>
  <c r="K18" i="16"/>
  <c r="F84" i="16"/>
  <c r="F70" i="16"/>
  <c r="F22" i="16"/>
  <c r="F56" i="16"/>
  <c r="G79" i="16"/>
  <c r="G65" i="16"/>
  <c r="G51" i="16"/>
  <c r="K14" i="16"/>
  <c r="O36" i="16" s="1"/>
  <c r="N38" i="16"/>
  <c r="N33" i="16"/>
  <c r="P33" i="16"/>
  <c r="O33" i="16"/>
  <c r="Q33" i="16"/>
  <c r="O38" i="16"/>
  <c r="F20" i="16"/>
  <c r="F21" i="16"/>
  <c r="G14" i="16"/>
  <c r="H18" i="16"/>
  <c r="I18" i="16" s="1"/>
  <c r="G19" i="24"/>
  <c r="U33" i="24" s="1"/>
  <c r="H19" i="24"/>
  <c r="V33" i="24" s="1"/>
  <c r="G18" i="24"/>
  <c r="U32" i="24" s="1"/>
  <c r="H18" i="24"/>
  <c r="V32" i="24" s="1"/>
  <c r="G20" i="24"/>
  <c r="U34" i="24" s="1"/>
  <c r="H20" i="24"/>
  <c r="V34" i="24" s="1"/>
  <c r="G21" i="24"/>
  <c r="U35" i="24" s="1"/>
  <c r="H21" i="24"/>
  <c r="V35" i="24" s="1"/>
  <c r="D11" i="22"/>
  <c r="R11" i="22" s="1"/>
  <c r="H11" i="22"/>
  <c r="V11" i="22" s="1"/>
  <c r="G11" i="22"/>
  <c r="U11" i="22" s="1"/>
  <c r="F11" i="22"/>
  <c r="T11" i="22" s="1"/>
  <c r="E11" i="22"/>
  <c r="S11" i="22" s="1"/>
  <c r="C11" i="22"/>
  <c r="Q11" i="22" s="1"/>
  <c r="G24" i="24"/>
  <c r="H24" i="24"/>
  <c r="G18" i="16"/>
  <c r="F19" i="16"/>
  <c r="H14" i="16"/>
  <c r="I14" i="16" s="1"/>
  <c r="F13" i="18"/>
  <c r="F13" i="21"/>
  <c r="F13" i="19"/>
  <c r="F13" i="25"/>
  <c r="K13" i="25" l="1"/>
  <c r="F87" i="25"/>
  <c r="F17" i="25"/>
  <c r="F73" i="25"/>
  <c r="K13" i="21"/>
  <c r="F91" i="21"/>
  <c r="F17" i="21"/>
  <c r="F105" i="21"/>
  <c r="K13" i="19"/>
  <c r="F17" i="19"/>
  <c r="F87" i="19"/>
  <c r="F59" i="19"/>
  <c r="F73" i="19"/>
  <c r="F64" i="18"/>
  <c r="F78" i="18"/>
  <c r="K13" i="18"/>
  <c r="F17" i="18"/>
  <c r="O37" i="16"/>
  <c r="F71" i="16"/>
  <c r="F85" i="16"/>
  <c r="F57" i="16"/>
  <c r="G80" i="16"/>
  <c r="G66" i="16"/>
  <c r="G52" i="16"/>
  <c r="F88" i="16"/>
  <c r="F74" i="16"/>
  <c r="F60" i="16"/>
  <c r="Q32" i="16"/>
  <c r="K20" i="16"/>
  <c r="P37" i="16" s="1"/>
  <c r="F86" i="16"/>
  <c r="F72" i="16"/>
  <c r="F58" i="16"/>
  <c r="P32" i="16"/>
  <c r="G84" i="16"/>
  <c r="G70" i="16"/>
  <c r="G56" i="16"/>
  <c r="K21" i="16"/>
  <c r="P38" i="16" s="1"/>
  <c r="F73" i="16"/>
  <c r="F87" i="16"/>
  <c r="F59" i="16"/>
  <c r="O32" i="16"/>
  <c r="F17" i="23"/>
  <c r="F110" i="23" s="1"/>
  <c r="F106" i="23"/>
  <c r="F92" i="23"/>
  <c r="F78" i="23"/>
  <c r="G17" i="16"/>
  <c r="Q31" i="16"/>
  <c r="P31" i="16"/>
  <c r="N31" i="16"/>
  <c r="O31" i="16"/>
  <c r="K19" i="16"/>
  <c r="P36" i="16" s="1"/>
  <c r="G22" i="16"/>
  <c r="N37" i="16"/>
  <c r="Q37" i="16"/>
  <c r="Q38" i="16"/>
  <c r="G13" i="23"/>
  <c r="K13" i="23"/>
  <c r="F16" i="18"/>
  <c r="F15" i="18"/>
  <c r="F80" i="18" s="1"/>
  <c r="F15" i="20"/>
  <c r="F16" i="20"/>
  <c r="B17" i="22"/>
  <c r="G17" i="22" s="1"/>
  <c r="U17" i="22" s="1"/>
  <c r="F16" i="21"/>
  <c r="F15" i="21"/>
  <c r="G13" i="25"/>
  <c r="F16" i="25"/>
  <c r="F15" i="25"/>
  <c r="F15" i="23"/>
  <c r="F16" i="23"/>
  <c r="F15" i="19"/>
  <c r="F16" i="19"/>
  <c r="G15" i="16"/>
  <c r="G19" i="16"/>
  <c r="G13" i="19"/>
  <c r="B16" i="22"/>
  <c r="G13" i="20"/>
  <c r="B14" i="22"/>
  <c r="G13" i="18"/>
  <c r="B15" i="22"/>
  <c r="G15" i="22" s="1"/>
  <c r="U15" i="22" s="1"/>
  <c r="F14" i="23"/>
  <c r="F18" i="23"/>
  <c r="H13" i="23"/>
  <c r="I13" i="23" s="1"/>
  <c r="H19" i="16"/>
  <c r="I19" i="16" s="1"/>
  <c r="H15" i="16"/>
  <c r="I15" i="16" s="1"/>
  <c r="F18" i="25"/>
  <c r="F14" i="25"/>
  <c r="F59" i="25"/>
  <c r="H13" i="25"/>
  <c r="I13" i="25" s="1"/>
  <c r="F14" i="19"/>
  <c r="F18" i="19"/>
  <c r="H13" i="19"/>
  <c r="I13" i="19" s="1"/>
  <c r="G13" i="21"/>
  <c r="F18" i="21"/>
  <c r="H13" i="21"/>
  <c r="I13" i="21" s="1"/>
  <c r="F14" i="21"/>
  <c r="F77" i="21"/>
  <c r="H13" i="18"/>
  <c r="I13" i="18" s="1"/>
  <c r="F14" i="18"/>
  <c r="F50" i="18"/>
  <c r="F18" i="18"/>
  <c r="H13" i="20"/>
  <c r="I13" i="20" s="1"/>
  <c r="F14" i="20"/>
  <c r="F88" i="20" s="1"/>
  <c r="F18" i="20"/>
  <c r="F92" i="20" s="1"/>
  <c r="K14" i="21" l="1"/>
  <c r="F106" i="21"/>
  <c r="F78" i="21"/>
  <c r="F92" i="21"/>
  <c r="F69" i="18"/>
  <c r="F83" i="18"/>
  <c r="F65" i="18"/>
  <c r="F79" i="18"/>
  <c r="G105" i="21"/>
  <c r="G91" i="21"/>
  <c r="K18" i="19"/>
  <c r="F78" i="19"/>
  <c r="F92" i="19"/>
  <c r="F22" i="19"/>
  <c r="F74" i="25"/>
  <c r="F88" i="25"/>
  <c r="G64" i="18"/>
  <c r="G78" i="18"/>
  <c r="G73" i="20"/>
  <c r="G87" i="20"/>
  <c r="G87" i="19"/>
  <c r="G73" i="19"/>
  <c r="K15" i="19"/>
  <c r="F75" i="19"/>
  <c r="F61" i="19"/>
  <c r="F89" i="19"/>
  <c r="K16" i="25"/>
  <c r="F76" i="25"/>
  <c r="F90" i="25"/>
  <c r="K15" i="21"/>
  <c r="F107" i="21"/>
  <c r="F79" i="21"/>
  <c r="F93" i="21"/>
  <c r="F75" i="20"/>
  <c r="F89" i="20"/>
  <c r="F67" i="18"/>
  <c r="F81" i="18"/>
  <c r="G17" i="19"/>
  <c r="F77" i="19"/>
  <c r="F63" i="19"/>
  <c r="F91" i="19"/>
  <c r="F82" i="21"/>
  <c r="F110" i="21"/>
  <c r="F96" i="21"/>
  <c r="F88" i="19"/>
  <c r="F74" i="19"/>
  <c r="K18" i="25"/>
  <c r="F78" i="25"/>
  <c r="F92" i="25"/>
  <c r="F22" i="25"/>
  <c r="K16" i="19"/>
  <c r="F90" i="19"/>
  <c r="F76" i="19"/>
  <c r="F62" i="19"/>
  <c r="K15" i="25"/>
  <c r="F89" i="25"/>
  <c r="F75" i="25"/>
  <c r="G87" i="25"/>
  <c r="G73" i="25"/>
  <c r="K16" i="21"/>
  <c r="F108" i="21"/>
  <c r="F80" i="21"/>
  <c r="F94" i="21"/>
  <c r="F76" i="20"/>
  <c r="F90" i="20"/>
  <c r="F68" i="18"/>
  <c r="F82" i="18"/>
  <c r="G17" i="21"/>
  <c r="F109" i="21"/>
  <c r="F95" i="21"/>
  <c r="F81" i="21"/>
  <c r="G17" i="25"/>
  <c r="F91" i="25"/>
  <c r="F77" i="25"/>
  <c r="F63" i="25"/>
  <c r="K18" i="21"/>
  <c r="F22" i="21"/>
  <c r="K15" i="18"/>
  <c r="F66" i="18"/>
  <c r="G17" i="18"/>
  <c r="G82" i="18" s="1"/>
  <c r="F54" i="18"/>
  <c r="K16" i="18"/>
  <c r="F53" i="18"/>
  <c r="K18" i="18"/>
  <c r="F22" i="18"/>
  <c r="G14" i="18"/>
  <c r="K14" i="18"/>
  <c r="F60" i="20"/>
  <c r="F74" i="20"/>
  <c r="F64" i="20"/>
  <c r="F78" i="20"/>
  <c r="K15" i="20"/>
  <c r="F61" i="20"/>
  <c r="K16" i="20"/>
  <c r="F62" i="20"/>
  <c r="K18" i="20"/>
  <c r="F22" i="20"/>
  <c r="G88" i="16"/>
  <c r="G74" i="16"/>
  <c r="G60" i="16"/>
  <c r="G85" i="16"/>
  <c r="G71" i="16"/>
  <c r="G57" i="16"/>
  <c r="G67" i="16"/>
  <c r="G81" i="16"/>
  <c r="G53" i="16"/>
  <c r="G83" i="16"/>
  <c r="G69" i="16"/>
  <c r="G55" i="16"/>
  <c r="K15" i="23"/>
  <c r="F108" i="23"/>
  <c r="F94" i="23"/>
  <c r="F80" i="23"/>
  <c r="G106" i="23"/>
  <c r="G92" i="23"/>
  <c r="G78" i="23"/>
  <c r="K16" i="23"/>
  <c r="F109" i="23"/>
  <c r="F95" i="23"/>
  <c r="F81" i="23"/>
  <c r="G17" i="23"/>
  <c r="G110" i="23" s="1"/>
  <c r="F96" i="23"/>
  <c r="F82" i="23"/>
  <c r="F107" i="23"/>
  <c r="F79" i="23"/>
  <c r="F93" i="23"/>
  <c r="F111" i="23"/>
  <c r="F97" i="23"/>
  <c r="F83" i="23"/>
  <c r="K18" i="23"/>
  <c r="F22" i="23"/>
  <c r="N36" i="16"/>
  <c r="Q36" i="16"/>
  <c r="G14" i="25"/>
  <c r="K14" i="25"/>
  <c r="G14" i="19"/>
  <c r="K14" i="19"/>
  <c r="G14" i="20"/>
  <c r="G88" i="20" s="1"/>
  <c r="K14" i="20"/>
  <c r="G14" i="23"/>
  <c r="K14" i="23"/>
  <c r="H17" i="22"/>
  <c r="V17" i="22" s="1"/>
  <c r="F19" i="23"/>
  <c r="H19" i="23" s="1"/>
  <c r="I19" i="23" s="1"/>
  <c r="F21" i="23"/>
  <c r="F20" i="23"/>
  <c r="G18" i="19"/>
  <c r="F21" i="19"/>
  <c r="F20" i="19"/>
  <c r="H18" i="23"/>
  <c r="I18" i="23" s="1"/>
  <c r="G18" i="25"/>
  <c r="F21" i="25"/>
  <c r="F20" i="25"/>
  <c r="G18" i="20"/>
  <c r="G92" i="20" s="1"/>
  <c r="F21" i="20"/>
  <c r="F20" i="20"/>
  <c r="G18" i="23"/>
  <c r="G111" i="23" s="1"/>
  <c r="E17" i="22"/>
  <c r="S17" i="22" s="1"/>
  <c r="F21" i="21"/>
  <c r="F20" i="21"/>
  <c r="G18" i="18"/>
  <c r="F21" i="18"/>
  <c r="F86" i="18" s="1"/>
  <c r="F20" i="18"/>
  <c r="F85" i="18" s="1"/>
  <c r="F17" i="22"/>
  <c r="T17" i="22" s="1"/>
  <c r="G16" i="16"/>
  <c r="G20" i="16"/>
  <c r="H15" i="22"/>
  <c r="V15" i="22" s="1"/>
  <c r="F15" i="22"/>
  <c r="T15" i="22" s="1"/>
  <c r="E15" i="22"/>
  <c r="S15" i="22" s="1"/>
  <c r="E14" i="22"/>
  <c r="S14" i="22" s="1"/>
  <c r="F14" i="22"/>
  <c r="T14" i="22" s="1"/>
  <c r="G14" i="22"/>
  <c r="U14" i="22" s="1"/>
  <c r="D14" i="22"/>
  <c r="R14" i="22" s="1"/>
  <c r="H14" i="22"/>
  <c r="V14" i="22" s="1"/>
  <c r="E16" i="22"/>
  <c r="S16" i="22" s="1"/>
  <c r="F16" i="22"/>
  <c r="T16" i="22" s="1"/>
  <c r="G16" i="22"/>
  <c r="U16" i="22" s="1"/>
  <c r="H16" i="22"/>
  <c r="V16" i="22" s="1"/>
  <c r="H14" i="23"/>
  <c r="I14" i="23" s="1"/>
  <c r="H20" i="16"/>
  <c r="I20" i="16" s="1"/>
  <c r="H16" i="16"/>
  <c r="I16" i="16" s="1"/>
  <c r="G15" i="23"/>
  <c r="H18" i="20"/>
  <c r="I18" i="20" s="1"/>
  <c r="F19" i="20"/>
  <c r="F93" i="20" s="1"/>
  <c r="G15" i="20"/>
  <c r="G89" i="20" s="1"/>
  <c r="H14" i="20"/>
  <c r="I14" i="20" s="1"/>
  <c r="H18" i="18"/>
  <c r="I18" i="18" s="1"/>
  <c r="F19" i="18"/>
  <c r="F55" i="18"/>
  <c r="F51" i="18"/>
  <c r="H14" i="18"/>
  <c r="I14" i="18" s="1"/>
  <c r="G15" i="18"/>
  <c r="G77" i="21"/>
  <c r="F60" i="19"/>
  <c r="G15" i="19"/>
  <c r="H14" i="19"/>
  <c r="I14" i="19" s="1"/>
  <c r="G59" i="20"/>
  <c r="G50" i="18"/>
  <c r="G14" i="21"/>
  <c r="H14" i="21"/>
  <c r="I14" i="21" s="1"/>
  <c r="F19" i="21"/>
  <c r="G18" i="21"/>
  <c r="H18" i="21"/>
  <c r="I18" i="21" s="1"/>
  <c r="F19" i="19"/>
  <c r="H18" i="19"/>
  <c r="I18" i="19" s="1"/>
  <c r="F64" i="19"/>
  <c r="G59" i="19"/>
  <c r="H18" i="25"/>
  <c r="I18" i="25" s="1"/>
  <c r="F19" i="25"/>
  <c r="F64" i="25"/>
  <c r="G59" i="25"/>
  <c r="G15" i="25"/>
  <c r="F60" i="25"/>
  <c r="H14" i="25"/>
  <c r="I14" i="25" s="1"/>
  <c r="G19" i="23" l="1"/>
  <c r="G112" i="23" s="1"/>
  <c r="F79" i="25"/>
  <c r="F93" i="25"/>
  <c r="K19" i="21"/>
  <c r="F111" i="21"/>
  <c r="F83" i="21"/>
  <c r="F97" i="21"/>
  <c r="G89" i="25"/>
  <c r="G75" i="25"/>
  <c r="F93" i="19"/>
  <c r="F79" i="19"/>
  <c r="G110" i="21"/>
  <c r="G96" i="21"/>
  <c r="G82" i="21"/>
  <c r="G66" i="18"/>
  <c r="G80" i="18"/>
  <c r="F70" i="18"/>
  <c r="F84" i="18"/>
  <c r="G69" i="18"/>
  <c r="G83" i="18"/>
  <c r="K21" i="21"/>
  <c r="F113" i="21"/>
  <c r="F99" i="21"/>
  <c r="F85" i="21"/>
  <c r="F81" i="20"/>
  <c r="F95" i="20"/>
  <c r="K20" i="25"/>
  <c r="F94" i="25"/>
  <c r="F80" i="25"/>
  <c r="G92" i="25"/>
  <c r="G78" i="25"/>
  <c r="K20" i="19"/>
  <c r="F80" i="19"/>
  <c r="F94" i="19"/>
  <c r="G92" i="19"/>
  <c r="G78" i="19"/>
  <c r="G88" i="19"/>
  <c r="G74" i="19"/>
  <c r="G88" i="25"/>
  <c r="G74" i="25"/>
  <c r="G65" i="18"/>
  <c r="G79" i="18"/>
  <c r="G91" i="25"/>
  <c r="G77" i="25"/>
  <c r="G63" i="25"/>
  <c r="G95" i="21"/>
  <c r="G81" i="21"/>
  <c r="G109" i="21"/>
  <c r="G22" i="25"/>
  <c r="F96" i="25"/>
  <c r="F82" i="25"/>
  <c r="F68" i="25"/>
  <c r="G77" i="19"/>
  <c r="G91" i="19"/>
  <c r="G63" i="19"/>
  <c r="G22" i="19"/>
  <c r="F82" i="19"/>
  <c r="F96" i="19"/>
  <c r="F68" i="19"/>
  <c r="G92" i="21"/>
  <c r="G106" i="21"/>
  <c r="G78" i="21"/>
  <c r="G89" i="19"/>
  <c r="G75" i="19"/>
  <c r="K20" i="21"/>
  <c r="F112" i="21"/>
  <c r="F84" i="21"/>
  <c r="F98" i="21"/>
  <c r="F80" i="20"/>
  <c r="F94" i="20"/>
  <c r="K21" i="25"/>
  <c r="F81" i="25"/>
  <c r="F95" i="25"/>
  <c r="K21" i="19"/>
  <c r="F95" i="19"/>
  <c r="F81" i="19"/>
  <c r="F67" i="19"/>
  <c r="F82" i="20"/>
  <c r="F96" i="20"/>
  <c r="F73" i="18"/>
  <c r="F87" i="18"/>
  <c r="G22" i="21"/>
  <c r="F114" i="21"/>
  <c r="F86" i="21"/>
  <c r="F100" i="21"/>
  <c r="K20" i="18"/>
  <c r="F71" i="18"/>
  <c r="G54" i="18"/>
  <c r="G68" i="18"/>
  <c r="K21" i="18"/>
  <c r="F72" i="18"/>
  <c r="G22" i="18"/>
  <c r="G87" i="18" s="1"/>
  <c r="F59" i="18"/>
  <c r="G19" i="18"/>
  <c r="K19" i="18"/>
  <c r="G64" i="20"/>
  <c r="G78" i="20"/>
  <c r="G60" i="20"/>
  <c r="G74" i="20"/>
  <c r="F65" i="20"/>
  <c r="F79" i="20"/>
  <c r="G61" i="20"/>
  <c r="G75" i="20"/>
  <c r="G22" i="20"/>
  <c r="G96" i="20" s="1"/>
  <c r="F68" i="20"/>
  <c r="K21" i="20"/>
  <c r="F67" i="20"/>
  <c r="K20" i="20"/>
  <c r="F66" i="20"/>
  <c r="F115" i="23"/>
  <c r="F101" i="23"/>
  <c r="G68" i="16"/>
  <c r="G82" i="16"/>
  <c r="G54" i="16"/>
  <c r="G72" i="16"/>
  <c r="G86" i="16"/>
  <c r="G58" i="16"/>
  <c r="G94" i="23"/>
  <c r="G80" i="23"/>
  <c r="G108" i="23"/>
  <c r="K19" i="23"/>
  <c r="F112" i="23"/>
  <c r="F84" i="23"/>
  <c r="F98" i="23"/>
  <c r="G22" i="23"/>
  <c r="G115" i="23" s="1"/>
  <c r="F87" i="23"/>
  <c r="G97" i="23"/>
  <c r="G83" i="23"/>
  <c r="K21" i="23"/>
  <c r="F114" i="23"/>
  <c r="F86" i="23"/>
  <c r="F100" i="23"/>
  <c r="G107" i="23"/>
  <c r="G93" i="23"/>
  <c r="G79" i="23"/>
  <c r="G98" i="23"/>
  <c r="G84" i="23"/>
  <c r="K20" i="23"/>
  <c r="F113" i="23"/>
  <c r="F99" i="23"/>
  <c r="F85" i="23"/>
  <c r="G96" i="23"/>
  <c r="G82" i="23"/>
  <c r="G19" i="25"/>
  <c r="K19" i="25"/>
  <c r="G19" i="19"/>
  <c r="K19" i="19"/>
  <c r="G19" i="20"/>
  <c r="G93" i="20" s="1"/>
  <c r="K19" i="20"/>
  <c r="H15" i="23"/>
  <c r="I15" i="23" s="1"/>
  <c r="G21" i="16"/>
  <c r="H21" i="16"/>
  <c r="I21" i="16" s="1"/>
  <c r="G16" i="23"/>
  <c r="H16" i="23"/>
  <c r="I16" i="23" s="1"/>
  <c r="G20" i="23"/>
  <c r="G113" i="23" s="1"/>
  <c r="H20" i="23"/>
  <c r="I20" i="23" s="1"/>
  <c r="H15" i="25"/>
  <c r="I15" i="25" s="1"/>
  <c r="G16" i="25"/>
  <c r="F61" i="25"/>
  <c r="H19" i="25"/>
  <c r="I19" i="25" s="1"/>
  <c r="G20" i="25"/>
  <c r="F65" i="25"/>
  <c r="G60" i="25"/>
  <c r="G64" i="19"/>
  <c r="G20" i="19"/>
  <c r="H19" i="19"/>
  <c r="I19" i="19" s="1"/>
  <c r="F65" i="19"/>
  <c r="G19" i="21"/>
  <c r="H19" i="21"/>
  <c r="I19" i="21" s="1"/>
  <c r="G15" i="21"/>
  <c r="H15" i="21"/>
  <c r="I15" i="21" s="1"/>
  <c r="G16" i="19"/>
  <c r="H15" i="19"/>
  <c r="I15" i="19" s="1"/>
  <c r="G60" i="19"/>
  <c r="H15" i="18"/>
  <c r="I15" i="18" s="1"/>
  <c r="G16" i="18"/>
  <c r="F52" i="18"/>
  <c r="H15" i="20"/>
  <c r="I15" i="20" s="1"/>
  <c r="G16" i="20"/>
  <c r="G90" i="20" s="1"/>
  <c r="G64" i="25"/>
  <c r="G51" i="18"/>
  <c r="G55" i="18"/>
  <c r="G20" i="18"/>
  <c r="H19" i="18"/>
  <c r="I19" i="18" s="1"/>
  <c r="F56" i="18"/>
  <c r="G20" i="20"/>
  <c r="G94" i="20" s="1"/>
  <c r="H19" i="20"/>
  <c r="I19" i="20" s="1"/>
  <c r="G67" i="18" l="1"/>
  <c r="G81" i="18"/>
  <c r="G90" i="19"/>
  <c r="G76" i="19"/>
  <c r="G93" i="21"/>
  <c r="G79" i="21"/>
  <c r="G107" i="21"/>
  <c r="G90" i="25"/>
  <c r="G76" i="25"/>
  <c r="G71" i="18"/>
  <c r="G85" i="18"/>
  <c r="G94" i="19"/>
  <c r="G80" i="19"/>
  <c r="G94" i="25"/>
  <c r="G80" i="25"/>
  <c r="G96" i="25"/>
  <c r="G82" i="25"/>
  <c r="G68" i="25"/>
  <c r="G97" i="21"/>
  <c r="G83" i="21"/>
  <c r="G111" i="21"/>
  <c r="G93" i="19"/>
  <c r="G79" i="19"/>
  <c r="G93" i="25"/>
  <c r="G79" i="25"/>
  <c r="G70" i="18"/>
  <c r="G84" i="18"/>
  <c r="G100" i="21"/>
  <c r="G114" i="21"/>
  <c r="G86" i="21"/>
  <c r="G96" i="19"/>
  <c r="G68" i="19"/>
  <c r="G82" i="19"/>
  <c r="G59" i="18"/>
  <c r="G73" i="18"/>
  <c r="G65" i="20"/>
  <c r="G79" i="20"/>
  <c r="G68" i="20"/>
  <c r="G82" i="20"/>
  <c r="G66" i="20"/>
  <c r="G80" i="20"/>
  <c r="G62" i="20"/>
  <c r="G76" i="20"/>
  <c r="G73" i="16"/>
  <c r="G87" i="16"/>
  <c r="G59" i="16"/>
  <c r="G95" i="23"/>
  <c r="G81" i="23"/>
  <c r="G109" i="23"/>
  <c r="G99" i="23"/>
  <c r="G85" i="23"/>
  <c r="G101" i="23"/>
  <c r="G87" i="23"/>
  <c r="G21" i="23"/>
  <c r="G114" i="23" s="1"/>
  <c r="H21" i="23"/>
  <c r="I21" i="23" s="1"/>
  <c r="G21" i="20"/>
  <c r="G95" i="20" s="1"/>
  <c r="H20" i="20"/>
  <c r="I20" i="20" s="1"/>
  <c r="H16" i="20"/>
  <c r="I16" i="20" s="1"/>
  <c r="G52" i="18"/>
  <c r="G16" i="21"/>
  <c r="H16" i="21"/>
  <c r="I16" i="21" s="1"/>
  <c r="H20" i="18"/>
  <c r="I20" i="18" s="1"/>
  <c r="F57" i="18"/>
  <c r="G21" i="18"/>
  <c r="H16" i="18"/>
  <c r="I16" i="18" s="1"/>
  <c r="G61" i="19"/>
  <c r="H16" i="19"/>
  <c r="I16" i="19" s="1"/>
  <c r="G20" i="21"/>
  <c r="H20" i="21"/>
  <c r="I20" i="21" s="1"/>
  <c r="H20" i="25"/>
  <c r="I20" i="25" s="1"/>
  <c r="G21" i="25"/>
  <c r="F66" i="25"/>
  <c r="F62" i="25"/>
  <c r="H16" i="25"/>
  <c r="I16" i="25" s="1"/>
  <c r="G56" i="18"/>
  <c r="G21" i="19"/>
  <c r="H20" i="19"/>
  <c r="I20" i="19" s="1"/>
  <c r="F66" i="19"/>
  <c r="G65" i="19"/>
  <c r="G65" i="25"/>
  <c r="G61" i="25"/>
  <c r="G95" i="19" l="1"/>
  <c r="G81" i="19"/>
  <c r="G98" i="21"/>
  <c r="G84" i="21"/>
  <c r="G112" i="21"/>
  <c r="G72" i="18"/>
  <c r="G86" i="18"/>
  <c r="G94" i="21"/>
  <c r="G80" i="21"/>
  <c r="G108" i="21"/>
  <c r="G95" i="25"/>
  <c r="G81" i="25"/>
  <c r="G67" i="20"/>
  <c r="G81" i="20"/>
  <c r="G100" i="23"/>
  <c r="G86" i="23"/>
  <c r="G66" i="19"/>
  <c r="G62" i="25"/>
  <c r="G66" i="25"/>
  <c r="H21" i="25"/>
  <c r="I21" i="25" s="1"/>
  <c r="F67" i="25"/>
  <c r="G21" i="21"/>
  <c r="H21" i="21"/>
  <c r="I21" i="21" s="1"/>
  <c r="G53" i="18"/>
  <c r="H21" i="18"/>
  <c r="I21" i="18" s="1"/>
  <c r="F58" i="18"/>
  <c r="G57" i="18"/>
  <c r="H21" i="19"/>
  <c r="I21" i="19" s="1"/>
  <c r="G62" i="19"/>
  <c r="H21" i="20"/>
  <c r="I21" i="20" s="1"/>
  <c r="G99" i="21" l="1"/>
  <c r="G85" i="21"/>
  <c r="G113" i="21"/>
  <c r="G58" i="18"/>
  <c r="G67" i="25"/>
  <c r="G67" i="19"/>
</calcChain>
</file>

<file path=xl/comments1.xml><?xml version="1.0" encoding="utf-8"?>
<comments xmlns="http://schemas.openxmlformats.org/spreadsheetml/2006/main">
  <authors>
    <author>User</author>
  </authors>
  <commentList>
    <comment ref="J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без кромки</t>
        </r>
      </text>
    </comment>
    <comment ref="K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без кромки</t>
        </r>
      </text>
    </comment>
    <comment ref="N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без кромки</t>
        </r>
      </text>
    </comment>
  </commentList>
</comments>
</file>

<file path=xl/sharedStrings.xml><?xml version="1.0" encoding="utf-8"?>
<sst xmlns="http://schemas.openxmlformats.org/spreadsheetml/2006/main" count="1904" uniqueCount="423">
  <si>
    <t>Porte</t>
  </si>
  <si>
    <t>Vetro</t>
  </si>
  <si>
    <t>Slot</t>
  </si>
  <si>
    <t>Fusion</t>
  </si>
  <si>
    <t>SOFT</t>
  </si>
  <si>
    <t>▪</t>
  </si>
  <si>
    <t>ORIGINAL</t>
  </si>
  <si>
    <t>Monte white soft (MR 960-SFT)</t>
  </si>
  <si>
    <t>Ice cacao (FS 305-2-SFT)</t>
  </si>
  <si>
    <t>Бетон известковый</t>
  </si>
  <si>
    <t>Бетон серый</t>
  </si>
  <si>
    <t>Камень темный</t>
  </si>
  <si>
    <t>Орех NY светлый</t>
  </si>
  <si>
    <t>Орех NY смоук</t>
  </si>
  <si>
    <t>Орех NY классический</t>
  </si>
  <si>
    <t>Twist</t>
  </si>
  <si>
    <t>Белый снег</t>
  </si>
  <si>
    <t>Милк софт</t>
  </si>
  <si>
    <t>Айс грей софт (TS 812-SFT)</t>
  </si>
  <si>
    <t>Кварц софт</t>
  </si>
  <si>
    <t>Смоки софт</t>
  </si>
  <si>
    <t>Maderaira oak amber вертикаль
 (LW 674-2C)</t>
  </si>
  <si>
    <t>Maderaira oak sand вертикаль
 (LW 674-2A)</t>
  </si>
  <si>
    <t>Maderaira oak malachite вертикаль
 (LW 675-2)</t>
  </si>
  <si>
    <t>Вставки ПВХ</t>
  </si>
  <si>
    <t>Грей кварц софт  (TS 840-SFT)</t>
  </si>
  <si>
    <t>Скол камня грей (NSN 133-N-L)</t>
  </si>
  <si>
    <t>Вставки Лакобель</t>
  </si>
  <si>
    <t xml:space="preserve">Белый  </t>
  </si>
  <si>
    <t>Айвори</t>
  </si>
  <si>
    <t>Бронза</t>
  </si>
  <si>
    <t>Серый</t>
  </si>
  <si>
    <t>Черный</t>
  </si>
  <si>
    <t>Дымчатый</t>
  </si>
  <si>
    <t>Галечный</t>
  </si>
  <si>
    <t>Телегрей</t>
  </si>
  <si>
    <t>Вставки Зеркало</t>
  </si>
  <si>
    <t>Серебро</t>
  </si>
  <si>
    <t>Графит</t>
  </si>
  <si>
    <t>ДЕКОРЫ</t>
  </si>
  <si>
    <t>2Т</t>
  </si>
  <si>
    <t>2/4 Ал</t>
  </si>
  <si>
    <t>Молдинги</t>
  </si>
  <si>
    <t>Хром</t>
  </si>
  <si>
    <t>Черная</t>
  </si>
  <si>
    <t>Медь</t>
  </si>
  <si>
    <t>Кромка</t>
  </si>
  <si>
    <t>Цвета ал.коробов и кромок</t>
  </si>
  <si>
    <t>Хром, Черная, Золото, Бронза, Медь</t>
  </si>
  <si>
    <t>Погонаж</t>
  </si>
  <si>
    <t>Стеновые панели</t>
  </si>
  <si>
    <t>Porte39-00</t>
  </si>
  <si>
    <t>Бронза (Антик)</t>
  </si>
  <si>
    <t>Золото (светлое)</t>
  </si>
  <si>
    <t>Содержание</t>
  </si>
  <si>
    <t>Коллекция Fusion</t>
  </si>
  <si>
    <t>Коллекция Twist</t>
  </si>
  <si>
    <t>Коллекция Techno Porte</t>
  </si>
  <si>
    <t>Коллекция Techno Slot</t>
  </si>
  <si>
    <t>Коллекция Techno Vetro</t>
  </si>
  <si>
    <t>Коллекция Techno Duet</t>
  </si>
  <si>
    <t>ПОЛОТНА</t>
  </si>
  <si>
    <t>ПОГОНАЖ</t>
  </si>
  <si>
    <t>Покрытия</t>
  </si>
  <si>
    <t>Bruno1, Bruno2,  Bruno3,  Bruno4</t>
  </si>
  <si>
    <t>Ширина</t>
  </si>
  <si>
    <t>Высота</t>
  </si>
  <si>
    <t>600, 700 800</t>
  </si>
  <si>
    <t>Цена, руб</t>
  </si>
  <si>
    <t>Наценка, %</t>
  </si>
  <si>
    <t>-</t>
  </si>
  <si>
    <t>вернуться в содержание</t>
  </si>
  <si>
    <t>Наценки</t>
  </si>
  <si>
    <t>Высота полотна</t>
  </si>
  <si>
    <t>Ширина полотна</t>
  </si>
  <si>
    <t>400, 500, 600, 700, 800</t>
  </si>
  <si>
    <t>Шаг полотна</t>
  </si>
  <si>
    <t>10% к нижнему значению</t>
  </si>
  <si>
    <t>Наименование продукции</t>
  </si>
  <si>
    <t>Наличник  L 75/10</t>
  </si>
  <si>
    <t>Наличник  L 75/16</t>
  </si>
  <si>
    <t>Наличник  L 90/10</t>
  </si>
  <si>
    <t>Наличник  L 90/16</t>
  </si>
  <si>
    <t>Полотно</t>
  </si>
  <si>
    <r>
      <t xml:space="preserve">Комплект: 
</t>
    </r>
    <r>
      <rPr>
        <sz val="9"/>
        <rFont val="Arial"/>
        <family val="2"/>
        <charset val="204"/>
      </rPr>
      <t>полотно+короб 2,5+наличник 5</t>
    </r>
  </si>
  <si>
    <t>Короб L (В=2400)
Наличник L 75/10 (В=2400)</t>
  </si>
  <si>
    <t>Короб L (В=2400) 
Наличник L 75/10 (В=2700)</t>
  </si>
  <si>
    <t>РРЦ</t>
  </si>
  <si>
    <t>РРЦ-акция</t>
  </si>
  <si>
    <t>Система L</t>
  </si>
  <si>
    <t>Система  Q</t>
  </si>
  <si>
    <t>Наличник   Q 90/10</t>
  </si>
  <si>
    <t>Доборы</t>
  </si>
  <si>
    <t>Прочий погонаж</t>
  </si>
  <si>
    <t>Погонажные изделия</t>
  </si>
  <si>
    <t>Монтажные элементы для пеналов</t>
  </si>
  <si>
    <t>Монтажные элементы для систем (Normal, Sinchro, Cascad)</t>
  </si>
  <si>
    <t>Плинтуса</t>
  </si>
  <si>
    <t>Duet</t>
  </si>
  <si>
    <t>Короба</t>
  </si>
  <si>
    <t>Наличники</t>
  </si>
  <si>
    <t>Плинтус плоский 75/16, без креплений</t>
  </si>
  <si>
    <t>Плинтус плоский 90/16, без креплений</t>
  </si>
  <si>
    <t>Облицовочная планка c пазом 120/10</t>
  </si>
  <si>
    <t>Декоративная планка для пенала 39/22</t>
  </si>
  <si>
    <t>Короб компланарный  Q 34/72</t>
  </si>
  <si>
    <t>Короб стандартный L 34/75</t>
  </si>
  <si>
    <t>Короб барный L 42/75</t>
  </si>
  <si>
    <t>РРЦ, руб.</t>
  </si>
  <si>
    <t>ОПТ, руб.</t>
  </si>
  <si>
    <t>Прочее</t>
  </si>
  <si>
    <t>Добор L односторонний 100/12</t>
  </si>
  <si>
    <t>Добор L односторонний 200/12</t>
  </si>
  <si>
    <t>Добор Q односторонний 100/22</t>
  </si>
  <si>
    <t>Добор Q односторонний 200/22</t>
  </si>
  <si>
    <t>Добор Q односторонний 250/22</t>
  </si>
  <si>
    <t>Притворная планка 40/10</t>
  </si>
  <si>
    <t>*Односторонний добор   L может быть изготовлен шириной до 1000 мм с кратностью 100 мм. Для расчета цены используется стоимость одностороннего добора L 100 мм с поправкой на кратность.</t>
  </si>
  <si>
    <t xml:space="preserve">Добор L двусторонний (от 80 до 600 мм), шаг 10 </t>
  </si>
  <si>
    <t>Добор Q односторонний, шаг 50</t>
  </si>
  <si>
    <t>от 250 до 1000 мм</t>
  </si>
  <si>
    <t>от 250 до 600 мм</t>
  </si>
  <si>
    <t>от 300 до 1000 мм</t>
  </si>
  <si>
    <t>от 300 до 600 мм</t>
  </si>
  <si>
    <t>Добор L  односторонний, шаг 100</t>
  </si>
  <si>
    <t>Сосновый брус 28/40 (без облицовки)</t>
  </si>
  <si>
    <t>Плинтус плоский 75/10, без креплений</t>
  </si>
  <si>
    <t>Плинтус плоский 90/10, без креплений</t>
  </si>
  <si>
    <t>Покрытия ПВХ</t>
  </si>
  <si>
    <t>Лайт хаки софт (TS 845-SFT)</t>
  </si>
  <si>
    <t>Дарк грей софт (ZB 812-SFT)</t>
  </si>
  <si>
    <t>Высота погоножа</t>
  </si>
  <si>
    <t>тип3 (81/8)</t>
  </si>
  <si>
    <t>Декоративная вставка для скрытого плинтуса</t>
  </si>
  <si>
    <t>тип4 (70/8)</t>
  </si>
  <si>
    <t>Крепление для плинтуса плоского (клипса/дюбель/саморез), 50 шт. Рекомендованное расстояние между клипсами для крепления плинтуса 0,5 метра</t>
  </si>
  <si>
    <t>Полотна ДГ</t>
  </si>
  <si>
    <t>Короб L (В=2120) 
Наличник L 75/10 (В=2150)</t>
  </si>
  <si>
    <t>Комплекты без доборов</t>
  </si>
  <si>
    <r>
      <t xml:space="preserve">Комплект: 
</t>
    </r>
    <r>
      <rPr>
        <sz val="9"/>
        <rFont val="Arial"/>
        <family val="2"/>
        <charset val="204"/>
      </rPr>
      <t>полотно+короб 2,5+наличник 5+
добор100 2,5</t>
    </r>
  </si>
  <si>
    <t>ОПТ</t>
  </si>
  <si>
    <t>ОПТ-акция</t>
  </si>
  <si>
    <t>Справочно</t>
  </si>
  <si>
    <t>Linea01, Twist01,  Twist03,  Lingo02</t>
  </si>
  <si>
    <t>цвет кромки</t>
  </si>
  <si>
    <t>матовый хром</t>
  </si>
  <si>
    <t>черный</t>
  </si>
  <si>
    <t>RAL/ NCS</t>
  </si>
  <si>
    <t>2AL (с 2х сторон)</t>
  </si>
  <si>
    <t>3AL (с 3х сторон)</t>
  </si>
  <si>
    <t>Внимание!!! Торец полотна - кромка 2AL</t>
  </si>
  <si>
    <t>Варианты алюминиевых кромок</t>
  </si>
  <si>
    <t>Декоры</t>
  </si>
  <si>
    <t>Зеркало с одной стороны</t>
  </si>
  <si>
    <t>Лакобель базовый с одной стороны</t>
  </si>
  <si>
    <t>серебро</t>
  </si>
  <si>
    <t>бронза</t>
  </si>
  <si>
    <t>графит</t>
  </si>
  <si>
    <t>по ral/ncs</t>
  </si>
  <si>
    <t>Зеркало матовое с одной стороны</t>
  </si>
  <si>
    <t>Толщина полотен 42 мм.</t>
  </si>
  <si>
    <t>Porte39-01</t>
  </si>
  <si>
    <t>4AL (с 4х сторон)</t>
  </si>
  <si>
    <t>Комплекта</t>
  </si>
  <si>
    <t>Комплекты с доборами (100мм)</t>
  </si>
  <si>
    <r>
      <t xml:space="preserve">Комплект: 
</t>
    </r>
    <r>
      <rPr>
        <sz val="9"/>
        <rFont val="Arial"/>
        <family val="2"/>
        <charset val="204"/>
      </rPr>
      <t>полотно+короб 2,5+наличник 5+
добор 2,5</t>
    </r>
  </si>
  <si>
    <t>Погонажа</t>
  </si>
  <si>
    <t xml:space="preserve">KUBICA 2760 </t>
  </si>
  <si>
    <t>петли</t>
  </si>
  <si>
    <t>фурнитура</t>
  </si>
  <si>
    <t>магнитный замок</t>
  </si>
  <si>
    <t>M1895</t>
  </si>
  <si>
    <t>Кол-во в комплекте</t>
  </si>
  <si>
    <t>цена за единицу (хром)</t>
  </si>
  <si>
    <t>Комплекты на скрытом коробе с фурнитурой</t>
  </si>
  <si>
    <t>вид кромки</t>
  </si>
  <si>
    <t>Модели</t>
  </si>
  <si>
    <t>ДОПОЛНИТЕЛЬНО</t>
  </si>
  <si>
    <t>ПОГОНАЖ И ПРОЧИЕ ИЗДЕЛИЯ</t>
  </si>
  <si>
    <t>Накладки</t>
  </si>
  <si>
    <t>Duet 11, Duet 14, Duet 19</t>
  </si>
  <si>
    <t>цвет молдинга</t>
  </si>
  <si>
    <t>Slot 10-001, Slot 10-002
Slot 10-011, Slot 10-012
Slot 10-004, Slot 10-123
Slot 41-002</t>
  </si>
  <si>
    <t>Коллекция Techno Vetro18, 20, 21</t>
  </si>
  <si>
    <t>Vetro 18, 20, 21</t>
  </si>
  <si>
    <t>600, 700 800, 900</t>
  </si>
  <si>
    <t>Vetro 11</t>
  </si>
  <si>
    <t>Vetro 11, 13</t>
  </si>
  <si>
    <t>НАКЛАДКИ</t>
  </si>
  <si>
    <t xml:space="preserve">Модель </t>
  </si>
  <si>
    <t>Нестандарт (наценки)</t>
  </si>
  <si>
    <t>/на входные двери/</t>
  </si>
  <si>
    <t>Bruno/Twist</t>
  </si>
  <si>
    <t xml:space="preserve">Внимание!!! Торец полотна - кромка 2T. </t>
  </si>
  <si>
    <t>Варианты алюминиевых кромок прямого открывания</t>
  </si>
  <si>
    <r>
      <t>WOOD NATUR вертикаль</t>
    </r>
    <r>
      <rPr>
        <b/>
        <sz val="11"/>
        <color rgb="FFFF0000"/>
        <rFont val="Calibri"/>
        <family val="2"/>
        <charset val="204"/>
        <scheme val="minor"/>
      </rPr>
      <t>**</t>
    </r>
  </si>
  <si>
    <r>
      <rPr>
        <b/>
        <sz val="11"/>
        <color rgb="FFFF0000"/>
        <rFont val="Calibri"/>
        <family val="2"/>
        <charset val="204"/>
        <scheme val="minor"/>
      </rPr>
      <t>**</t>
    </r>
    <r>
      <rPr>
        <sz val="11"/>
        <color theme="1"/>
        <rFont val="Calibri"/>
        <family val="2"/>
        <charset val="204"/>
        <scheme val="minor"/>
      </rPr>
      <t>Возможно изготовление в пленке горизонт. Доплата +25% к изделию.</t>
    </r>
  </si>
  <si>
    <t>полотно</t>
  </si>
  <si>
    <t>погонаж</t>
  </si>
  <si>
    <t>академия</t>
  </si>
  <si>
    <t>эстет</t>
  </si>
  <si>
    <t>престиж</t>
  </si>
  <si>
    <t>фрамир</t>
  </si>
  <si>
    <t>комплект</t>
  </si>
  <si>
    <t>Vetro11</t>
  </si>
  <si>
    <t>Vetro14</t>
  </si>
  <si>
    <t>Vetro19</t>
  </si>
  <si>
    <t>Vetro18</t>
  </si>
  <si>
    <t>Vetro20</t>
  </si>
  <si>
    <t>Vetro21</t>
  </si>
  <si>
    <t>Slot 10-002</t>
  </si>
  <si>
    <t>ПГ Титанум1</t>
  </si>
  <si>
    <t>Slot 10-011</t>
  </si>
  <si>
    <t>ПГ Титанум10</t>
  </si>
  <si>
    <t>Vetro13</t>
  </si>
  <si>
    <t>Vetro11,13</t>
  </si>
  <si>
    <t>Vetro12,14, 19</t>
  </si>
  <si>
    <t>Ultra2</t>
  </si>
  <si>
    <t>Ultra11</t>
  </si>
  <si>
    <t>Ultra18</t>
  </si>
  <si>
    <t>Ultra10</t>
  </si>
  <si>
    <t>Ultra20</t>
  </si>
  <si>
    <t>Ultra19</t>
  </si>
  <si>
    <t>Ultra21</t>
  </si>
  <si>
    <t>Vetro18,20,21</t>
  </si>
  <si>
    <t>2Al</t>
  </si>
  <si>
    <t>акция</t>
  </si>
  <si>
    <t>Коллекция Techno Vetro11, 13</t>
  </si>
  <si>
    <t>Коллекция Techno Vetro12, 14, 19</t>
  </si>
  <si>
    <t>Коллекция Techno Porte 39-00</t>
  </si>
  <si>
    <t>Коллекция Techno Porte 39-01</t>
  </si>
  <si>
    <t>Внимание!!! Торец полотна - кромка 4AL</t>
  </si>
  <si>
    <t>полотно+
2Al</t>
  </si>
  <si>
    <t>доплата к порте</t>
  </si>
  <si>
    <t>полотно+
4Al</t>
  </si>
  <si>
    <t>короб</t>
  </si>
  <si>
    <t>наличник</t>
  </si>
  <si>
    <t>добор</t>
  </si>
  <si>
    <t>опт</t>
  </si>
  <si>
    <t>ррц</t>
  </si>
  <si>
    <t>опт полотна 
с акцией</t>
  </si>
  <si>
    <t>терем</t>
  </si>
  <si>
    <t>волховец</t>
  </si>
  <si>
    <t>4Al</t>
  </si>
  <si>
    <t>Zero</t>
  </si>
  <si>
    <t>Nova</t>
  </si>
  <si>
    <t>Exit G1</t>
  </si>
  <si>
    <t>Planum</t>
  </si>
  <si>
    <t>Freedom</t>
  </si>
  <si>
    <t>Galant</t>
  </si>
  <si>
    <t>Garda</t>
  </si>
  <si>
    <t>Base</t>
  </si>
  <si>
    <t>U9</t>
  </si>
  <si>
    <t>3AL</t>
  </si>
  <si>
    <t>хром</t>
  </si>
  <si>
    <t>черная</t>
  </si>
  <si>
    <t>золото</t>
  </si>
  <si>
    <t>ral</t>
  </si>
  <si>
    <t>Ultra1</t>
  </si>
  <si>
    <t>Novella N3</t>
  </si>
  <si>
    <t>Neoclassic2</t>
  </si>
  <si>
    <t>Slot 10-001</t>
  </si>
  <si>
    <t>Лайн1</t>
  </si>
  <si>
    <t>Лайн6</t>
  </si>
  <si>
    <t>Slot 10-012</t>
  </si>
  <si>
    <t>Лайн7</t>
  </si>
  <si>
    <t>Лайн3</t>
  </si>
  <si>
    <t>ПГ Grafica 1</t>
  </si>
  <si>
    <t>Slot 10-123</t>
  </si>
  <si>
    <t>ПО Titanium 1</t>
  </si>
  <si>
    <t>ПО Titanium 4</t>
  </si>
  <si>
    <t>ПО Titanium 5</t>
  </si>
  <si>
    <t>ПО Titanium 10/2</t>
  </si>
  <si>
    <t>ПО Titanium 10/1</t>
  </si>
  <si>
    <t>ПО Titanium 11</t>
  </si>
  <si>
    <t>ПО/ПГ Arta 2</t>
  </si>
  <si>
    <t>Porte 2T</t>
  </si>
  <si>
    <t>Porte 2Al</t>
  </si>
  <si>
    <t>Exit V1</t>
  </si>
  <si>
    <t>Exit G2</t>
  </si>
  <si>
    <t>Exit G20</t>
  </si>
  <si>
    <t>Exit G2M</t>
  </si>
  <si>
    <t>U1</t>
  </si>
  <si>
    <t>U12</t>
  </si>
  <si>
    <t>U20</t>
  </si>
  <si>
    <t>U21</t>
  </si>
  <si>
    <t>комплект:
2,5 коробки +5 наличников</t>
  </si>
  <si>
    <t>комплект:
2,5 коробки +5 наличников
+2,5 добора</t>
  </si>
  <si>
    <t>Vetro 12, 14, 19</t>
  </si>
  <si>
    <t>комплекты</t>
  </si>
  <si>
    <t>полотна конкуренты</t>
  </si>
  <si>
    <t>комплект по акции</t>
  </si>
  <si>
    <t>Porte 39-00</t>
  </si>
  <si>
    <t>Наименование</t>
  </si>
  <si>
    <t>Примечание:</t>
  </si>
  <si>
    <t>2. Шаг по ширине и высоте 5 мм</t>
  </si>
  <si>
    <t>+5%</t>
  </si>
  <si>
    <t>+10%</t>
  </si>
  <si>
    <t>Наценки складываются, если высота и ширина накладки нестандартные.</t>
  </si>
  <si>
    <t xml:space="preserve">4. Накладки шириной до 900 и высотой до 2100мм являются стандартными, 
и считаются без применения дополнительных наценок за ширину. </t>
  </si>
  <si>
    <t>6 мм</t>
  </si>
  <si>
    <t>10 мм</t>
  </si>
  <si>
    <t>12 мм</t>
  </si>
  <si>
    <t>16 мм</t>
  </si>
  <si>
    <t>СТЕНОВЫЕ ПАНЕЛИ</t>
  </si>
  <si>
    <t>Алюминиевые профили</t>
  </si>
  <si>
    <t>Применение</t>
  </si>
  <si>
    <t>Монтируется в нижней, левой и верхней части стены.</t>
  </si>
  <si>
    <t>Применяется для оформления стыков внутренних и внешних углов стен.</t>
  </si>
  <si>
    <t>20*20*3000</t>
  </si>
  <si>
    <t>Для оформления крайнего правого стыка панелей и для оформления перехода к другой поверхности на прилегающей стене.</t>
  </si>
  <si>
    <t>10*10*3000</t>
  </si>
  <si>
    <t xml:space="preserve">Расшивка (МДФ) </t>
  </si>
  <si>
    <t>8 мм</t>
  </si>
  <si>
    <t>22 мм</t>
  </si>
  <si>
    <t>Vetro  21</t>
  </si>
  <si>
    <r>
      <t>по ширине более 900 мм</t>
    </r>
    <r>
      <rPr>
        <b/>
        <sz val="9"/>
        <rFont val="Arial"/>
        <family val="2"/>
        <charset val="204"/>
      </rPr>
      <t xml:space="preserve"> (до 1100 мм)</t>
    </r>
  </si>
  <si>
    <r>
      <t>по высоте более 2100 мм (</t>
    </r>
    <r>
      <rPr>
        <b/>
        <sz val="9"/>
        <rFont val="Arial"/>
        <family val="2"/>
        <charset val="204"/>
      </rPr>
      <t>до 2400 мм</t>
    </r>
    <r>
      <rPr>
        <sz val="9"/>
        <rFont val="Arial"/>
        <family val="2"/>
        <charset val="204"/>
      </rPr>
      <t>)</t>
    </r>
  </si>
  <si>
    <t>Bruno</t>
  </si>
  <si>
    <t>Vetro 13, 14</t>
  </si>
  <si>
    <t>полотно (200*800)</t>
  </si>
  <si>
    <t>1. Накладки оформляются по эскизу</t>
  </si>
  <si>
    <t>3. Заказ на накладки оформляется на спец. Бланке "Накладка"</t>
  </si>
  <si>
    <t>5. Размеры накладок указываются по оборотной стороне (с учетом ширины обката)</t>
  </si>
  <si>
    <t>Лакобель с одной стороны</t>
  </si>
  <si>
    <t>белый, черный, айвори, бронза</t>
  </si>
  <si>
    <t>Цена, руб.</t>
  </si>
  <si>
    <t>толщина накладки, мм</t>
  </si>
  <si>
    <t>Плоская за кв.м</t>
  </si>
  <si>
    <t>направление рисунка</t>
  </si>
  <si>
    <t>Ш</t>
  </si>
  <si>
    <t>Т</t>
  </si>
  <si>
    <t>Размеры,  мм</t>
  </si>
  <si>
    <t>Плоская QUADRA</t>
  </si>
  <si>
    <t>Плоская MEDIA</t>
  </si>
  <si>
    <t>Плоская LUNGO</t>
  </si>
  <si>
    <t>торцевой элемент</t>
  </si>
  <si>
    <t>соединитель уловой внешний</t>
  </si>
  <si>
    <t>соединитель уловой внутренний</t>
  </si>
  <si>
    <t>Д</t>
  </si>
  <si>
    <t>до 2700</t>
  </si>
  <si>
    <t>до 1100</t>
  </si>
  <si>
    <t>Шпонка декоративная</t>
  </si>
  <si>
    <t>1. Сборка панелей осуществляется через расшивку МДФ или декоративную шпонку</t>
  </si>
  <si>
    <t>Панели под размер</t>
  </si>
  <si>
    <t>Типовые панели</t>
  </si>
  <si>
    <t xml:space="preserve">Профиль стартовый (хром/черный) </t>
  </si>
  <si>
    <t xml:space="preserve">Профиль угловой (хром/черный) </t>
  </si>
  <si>
    <t xml:space="preserve">Профиль соединительный (хром/черный) </t>
  </si>
  <si>
    <t>Применяется для оформления стыков поверхностей в одной плоскости.</t>
  </si>
  <si>
    <t xml:space="preserve">Уголок (хром/черный) </t>
  </si>
  <si>
    <t>Плоская QUADRA (кратность 8)</t>
  </si>
  <si>
    <t>Плоская LUNGO (кратность 5)</t>
  </si>
  <si>
    <t>Плоская MEDIA 
(кратность 4)</t>
  </si>
  <si>
    <t>вертикаль</t>
  </si>
  <si>
    <t>горизонт</t>
  </si>
  <si>
    <t>диагональ</t>
  </si>
  <si>
    <t>3. Возможная длина панели 2700 мм при ширине до 600 мм, свыше 600 мм возможна - панели до 2400 мм</t>
  </si>
  <si>
    <t>Размер, 
мм</t>
  </si>
  <si>
    <t>Короб L под монтаж пеналов 32/125</t>
  </si>
  <si>
    <t>Монтажный брус для перегородок 59/58</t>
  </si>
  <si>
    <t>!!!При подсчете количесво палок на заказ округляется до целого</t>
  </si>
  <si>
    <t>Возможно изготовление с алюминиевой кромкой. При заказе необходимо дополнительно прибавить доплату за кромку в нужной конфигурации. Толщина полотен с алюминиевой кромкой  42 мм.</t>
  </si>
  <si>
    <t>HH3</t>
  </si>
  <si>
    <r>
      <t xml:space="preserve">Комплект: 
</t>
    </r>
    <r>
      <rPr>
        <sz val="9"/>
        <rFont val="Arial"/>
        <family val="2"/>
        <charset val="204"/>
      </rPr>
      <t>полотно 2T+скрытый короб +скрытые петли+магнитный замок</t>
    </r>
  </si>
  <si>
    <t xml:space="preserve">Короб AL </t>
  </si>
  <si>
    <r>
      <t xml:space="preserve">Комплект: 
</t>
    </r>
    <r>
      <rPr>
        <sz val="9"/>
        <rFont val="Arial"/>
        <family val="2"/>
        <charset val="204"/>
      </rPr>
      <t>полотно 2Al+скрытый короб +скрытые петли+магнитный замок</t>
    </r>
  </si>
  <si>
    <r>
      <t xml:space="preserve">Комплект: 
</t>
    </r>
    <r>
      <rPr>
        <sz val="9"/>
        <rFont val="Arial"/>
        <family val="2"/>
        <charset val="204"/>
      </rPr>
      <t>полотно 4Al+скрытый короб +скрытые петли+магнитный замок</t>
    </r>
  </si>
  <si>
    <t>˅</t>
  </si>
  <si>
    <t>Коллекция Fusion_ Bruno</t>
  </si>
  <si>
    <t>4. Направление рисунка панели вдоль длинного края, если иное не предусмотрено (аналогично доборам)</t>
  </si>
  <si>
    <t>5. Заказ на панели оформляется на спец. Бланке "Стеновые панели"</t>
  </si>
  <si>
    <t>6. Все стеновые панели изготавливаются по эскизу.</t>
  </si>
  <si>
    <t>7. Элементы для крепления и обрамления панелей в стоимость не входят и заказываются отдельно</t>
  </si>
  <si>
    <t>8. Оформление панелей может осуществляется при помощи алюминиевых профилей.</t>
  </si>
  <si>
    <t>Варианты алюминиевых кромок обратного открывания</t>
  </si>
  <si>
    <t>Porte52-00</t>
  </si>
  <si>
    <t>Толщина полотен 54 мм.</t>
  </si>
  <si>
    <t>Porte52-01</t>
  </si>
  <si>
    <t>Полотна с кромкой 2Т (короб ПСК-02)</t>
  </si>
  <si>
    <t>Короб AL ПСК-02</t>
  </si>
  <si>
    <t>Короб AL ОСК-02</t>
  </si>
  <si>
    <t>Полотна с кромкой 4Al (короб ПСК-02)</t>
  </si>
  <si>
    <t>Полотна с кромкой 4Al (короб ОСК-02)</t>
  </si>
  <si>
    <t>Полотна с кромкой 2Al/4Al (короб ПСК-02)</t>
  </si>
  <si>
    <t>Коллекция Techno Porte 52-00</t>
  </si>
  <si>
    <t>Коллекция Techno Porte 52-01</t>
  </si>
  <si>
    <t>25*25</t>
  </si>
  <si>
    <t>25*26</t>
  </si>
  <si>
    <t>до 2600</t>
  </si>
  <si>
    <t xml:space="preserve"> </t>
  </si>
  <si>
    <t>серый, галечный, дымчатый, телегрей</t>
  </si>
  <si>
    <t>старый от 03.06.24</t>
  </si>
  <si>
    <t>новый от 20.08.24</t>
  </si>
  <si>
    <t>ррц разница</t>
  </si>
  <si>
    <t>Короб L (В=2700) 
Наличник L 75/10 (В=2700)</t>
  </si>
  <si>
    <t>Комплект: 
полотно+короб 2,5+наличник 5</t>
  </si>
  <si>
    <t>Комплект: 
полотно+короб 2,5+наличник 5+
добор100 2,5</t>
  </si>
  <si>
    <t>Porte39-00,</t>
  </si>
  <si>
    <t>2000-2400</t>
  </si>
  <si>
    <t>старые цены</t>
  </si>
  <si>
    <t>ррц-акция</t>
  </si>
  <si>
    <t>опт-акция</t>
  </si>
  <si>
    <t>Стартовый профиль</t>
  </si>
  <si>
    <t>Соединительный профиль</t>
  </si>
  <si>
    <t>Угловой профиль</t>
  </si>
  <si>
    <t>*- Стоимость указана за метр</t>
  </si>
  <si>
    <t xml:space="preserve">Стартовый профиль* ( хром) </t>
  </si>
  <si>
    <t xml:space="preserve">Угловой профиль* ( хром) </t>
  </si>
  <si>
    <t xml:space="preserve">Соединительный профиль*         ( хром) </t>
  </si>
  <si>
    <t>2. Возможные цвета профилей : хром, черный, выкрас по рал и NCS.</t>
  </si>
  <si>
    <t>3. Стоимость профилей в цвете черный или выкрас по рал и NCS +20%</t>
  </si>
  <si>
    <t>1. Сборка панелей осуществляется через соединительный профиль, торец обрамляется стартовым профилем.</t>
  </si>
  <si>
    <t>8. Возможность изготовления в горизонтальном направлении для панелей MEDIA и LUNGO см. вкладку покрытия.</t>
  </si>
  <si>
    <t>Плоская QUADRA, варианты стыковки</t>
  </si>
  <si>
    <t>никель, золото,латунь, медный, антик</t>
  </si>
  <si>
    <t>% повышения</t>
  </si>
  <si>
    <t>Стабилизатор</t>
  </si>
  <si>
    <t>Porte39-01 комплектуется кромкой 4Al и стабилизатором. Стоимость стабилизатора входит в стоимость полотна.</t>
  </si>
  <si>
    <t>Porte52-01 комплектуется кромкой 4Al и стабилизатором. Стоимость стабилизатора входит в стоимость полотна.</t>
  </si>
  <si>
    <t>Плоская MEDIA, варианты стыковки</t>
  </si>
  <si>
    <t>Прайс-лист на изделия из ПВХ от 02.12.2024</t>
  </si>
  <si>
    <t>старая 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</si>
</sst>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_р_._-;\-* #,##0_р_._-;_-* &quot;-&quot;??_р_._-;_-@_-"/>
    <numFmt numFmtId="167" formatCode="_-* #,##0&quot;р.&quot;_-;\-* #,##0&quot;р.&quot;_-;_-* &quot;-&quot;??&quot;р.&quot;_-;_-@_-"/>
    <numFmt numFmtId="168" formatCode="0.0%"/>
  </numFmts>
  <fonts count="7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sz val="11"/>
      <color theme="0" tint="-0.34998626667073579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0" tint="-0.34998626667073579"/>
      <name val="Calibri"/>
      <family val="2"/>
      <charset val="204"/>
    </font>
    <font>
      <sz val="12"/>
      <color theme="0" tint="-0.34998626667073579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Arial Cyr"/>
      <charset val="204"/>
    </font>
    <font>
      <b/>
      <sz val="10"/>
      <name val="Arial Cyr"/>
      <charset val="204"/>
    </font>
    <font>
      <u/>
      <sz val="10"/>
      <color theme="10"/>
      <name val="Arial Cyr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2"/>
      <name val="Arial Cyr"/>
      <charset val="204"/>
    </font>
    <font>
      <sz val="11"/>
      <name val="Arial CYR"/>
    </font>
    <font>
      <i/>
      <sz val="9"/>
      <name val="Arial"/>
      <family val="2"/>
      <charset val="204"/>
    </font>
    <font>
      <sz val="10"/>
      <name val="Arial Cyr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b/>
      <sz val="14"/>
      <color theme="0" tint="-0.499984740745262"/>
      <name val="Arial"/>
      <family val="2"/>
      <charset val="204"/>
    </font>
    <font>
      <sz val="9"/>
      <color theme="0" tint="-0.499984740745262"/>
      <name val="Calibri"/>
      <family val="2"/>
      <charset val="204"/>
      <scheme val="minor"/>
    </font>
    <font>
      <b/>
      <sz val="9"/>
      <color theme="0" tint="-0.499984740745262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sz val="9"/>
      <color theme="0" tint="-0.499984740745262"/>
      <name val="Arial"/>
      <family val="2"/>
      <charset val="204"/>
    </font>
    <font>
      <i/>
      <sz val="8"/>
      <name val="Arial"/>
      <family val="2"/>
      <charset val="204"/>
    </font>
    <font>
      <i/>
      <sz val="8"/>
      <color theme="1"/>
      <name val="Calibri"/>
      <family val="2"/>
      <charset val="204"/>
      <scheme val="minor"/>
    </font>
    <font>
      <i/>
      <sz val="11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name val="Arial Cyr"/>
      <charset val="204"/>
    </font>
    <font>
      <b/>
      <sz val="11"/>
      <name val="Arial"/>
      <family val="2"/>
      <charset val="204"/>
    </font>
    <font>
      <i/>
      <sz val="10"/>
      <name val="Arial Cyr"/>
      <charset val="204"/>
    </font>
    <font>
      <b/>
      <sz val="9"/>
      <color rgb="FFFF0000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9"/>
      <color theme="6" tint="-0.249977111117893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1"/>
      <color theme="5" tint="-0.249977111117893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2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b/>
      <sz val="8"/>
      <color theme="0" tint="-0.499984740745262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u/>
      <sz val="11"/>
      <color theme="10"/>
      <name val="Arial Cyr"/>
      <charset val="204"/>
    </font>
    <font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Calibri"/>
      <family val="2"/>
      <charset val="204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9"/>
      <color theme="10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6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</cellStyleXfs>
  <cellXfs count="50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5" fillId="0" borderId="0" xfId="0" applyFont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6" fillId="0" borderId="0" xfId="0" applyFont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/>
    <xf numFmtId="0" fontId="10" fillId="0" borderId="1" xfId="0" applyFont="1" applyBorder="1"/>
    <xf numFmtId="0" fontId="10" fillId="0" borderId="0" xfId="0" applyFont="1" applyBorder="1"/>
    <xf numFmtId="0" fontId="4" fillId="0" borderId="0" xfId="0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3" fillId="3" borderId="1" xfId="0" applyFont="1" applyFill="1" applyBorder="1" applyAlignment="1">
      <alignment vertical="center"/>
    </xf>
    <xf numFmtId="9" fontId="0" fillId="0" borderId="0" xfId="1" applyFont="1" applyAlignment="1">
      <alignment vertical="center"/>
    </xf>
    <xf numFmtId="0" fontId="11" fillId="0" borderId="0" xfId="0" applyFont="1" applyAlignment="1">
      <alignment vertical="center"/>
    </xf>
    <xf numFmtId="0" fontId="0" fillId="3" borderId="3" xfId="0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2" fillId="0" borderId="1" xfId="0" applyFont="1" applyBorder="1" applyAlignment="1">
      <alignment vertical="center" wrapText="1"/>
    </xf>
    <xf numFmtId="0" fontId="13" fillId="0" borderId="0" xfId="0" applyFont="1"/>
    <xf numFmtId="0" fontId="17" fillId="0" borderId="0" xfId="0" applyFont="1" applyAlignment="1">
      <alignment horizontal="center" vertical="top"/>
    </xf>
    <xf numFmtId="0" fontId="18" fillId="0" borderId="0" xfId="0" applyFont="1" applyAlignment="1">
      <alignment horizontal="left" vertical="top"/>
    </xf>
    <xf numFmtId="0" fontId="16" fillId="0" borderId="0" xfId="0" applyFont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14" fillId="0" borderId="0" xfId="0" applyFont="1" applyAlignment="1"/>
    <xf numFmtId="0" fontId="3" fillId="0" borderId="0" xfId="0" applyFont="1" applyAlignment="1">
      <alignment horizontal="right"/>
    </xf>
    <xf numFmtId="0" fontId="14" fillId="0" borderId="0" xfId="3" applyFont="1" applyFill="1" applyAlignment="1" applyProtection="1">
      <alignment vertical="center"/>
    </xf>
    <xf numFmtId="0" fontId="23" fillId="0" borderId="0" xfId="3" applyFont="1" applyFill="1" applyAlignment="1" applyProtection="1">
      <alignment vertical="center"/>
    </xf>
    <xf numFmtId="0" fontId="21" fillId="7" borderId="1" xfId="0" applyFont="1" applyFill="1" applyBorder="1" applyAlignment="1">
      <alignment horizontal="center" vertical="center" wrapText="1"/>
    </xf>
    <xf numFmtId="166" fontId="21" fillId="7" borderId="1" xfId="2" applyNumberFormat="1" applyFont="1" applyFill="1" applyBorder="1" applyAlignment="1">
      <alignment horizontal="center" vertical="center" wrapText="1"/>
    </xf>
    <xf numFmtId="9" fontId="21" fillId="7" borderId="1" xfId="0" applyNumberFormat="1" applyFont="1" applyFill="1" applyBorder="1" applyAlignment="1">
      <alignment horizontal="center" vertical="center" wrapText="1"/>
    </xf>
    <xf numFmtId="166" fontId="20" fillId="7" borderId="1" xfId="2" applyNumberFormat="1" applyFont="1" applyFill="1" applyBorder="1" applyAlignment="1">
      <alignment horizontal="center" vertical="center" wrapText="1"/>
    </xf>
    <xf numFmtId="0" fontId="3" fillId="0" borderId="0" xfId="0" applyFont="1"/>
    <xf numFmtId="0" fontId="20" fillId="7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horizontal="right"/>
    </xf>
    <xf numFmtId="0" fontId="20" fillId="0" borderId="1" xfId="0" applyFont="1" applyBorder="1" applyAlignment="1">
      <alignment horizontal="center" vertical="center" wrapText="1"/>
    </xf>
    <xf numFmtId="0" fontId="24" fillId="0" borderId="0" xfId="0" applyFont="1"/>
    <xf numFmtId="0" fontId="1" fillId="0" borderId="0" xfId="4"/>
    <xf numFmtId="1" fontId="21" fillId="0" borderId="1" xfId="0" applyNumberFormat="1" applyFont="1" applyBorder="1" applyAlignment="1">
      <alignment horizontal="center" vertical="center"/>
    </xf>
    <xf numFmtId="1" fontId="21" fillId="0" borderId="12" xfId="0" applyNumberFormat="1" applyFont="1" applyBorder="1" applyAlignment="1">
      <alignment horizontal="center" vertical="center"/>
    </xf>
    <xf numFmtId="0" fontId="20" fillId="7" borderId="12" xfId="0" applyFont="1" applyFill="1" applyBorder="1" applyAlignment="1">
      <alignment horizontal="center" vertical="center" wrapText="1"/>
    </xf>
    <xf numFmtId="166" fontId="20" fillId="7" borderId="12" xfId="2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top"/>
    </xf>
    <xf numFmtId="9" fontId="20" fillId="0" borderId="5" xfId="0" applyNumberFormat="1" applyFont="1" applyBorder="1" applyAlignment="1">
      <alignment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1" fontId="21" fillId="0" borderId="13" xfId="0" applyNumberFormat="1" applyFont="1" applyBorder="1" applyAlignment="1">
      <alignment horizontal="center" vertical="center"/>
    </xf>
    <xf numFmtId="9" fontId="21" fillId="7" borderId="13" xfId="0" applyNumberFormat="1" applyFont="1" applyFill="1" applyBorder="1" applyAlignment="1">
      <alignment horizontal="center" vertical="center" wrapText="1"/>
    </xf>
    <xf numFmtId="166" fontId="21" fillId="7" borderId="13" xfId="2" applyNumberFormat="1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 vertical="distributed" wrapText="1" indent="1"/>
    </xf>
    <xf numFmtId="1" fontId="21" fillId="0" borderId="0" xfId="0" applyNumberFormat="1" applyFont="1" applyBorder="1" applyAlignment="1">
      <alignment horizontal="center" vertical="center"/>
    </xf>
    <xf numFmtId="166" fontId="20" fillId="7" borderId="0" xfId="2" applyNumberFormat="1" applyFont="1" applyFill="1" applyBorder="1" applyAlignment="1">
      <alignment horizontal="center" vertical="center" wrapText="1"/>
    </xf>
    <xf numFmtId="166" fontId="21" fillId="7" borderId="0" xfId="2" applyNumberFormat="1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vertical="center"/>
    </xf>
    <xf numFmtId="0" fontId="27" fillId="2" borderId="5" xfId="0" applyFont="1" applyFill="1" applyBorder="1" applyAlignment="1">
      <alignment vertical="center"/>
    </xf>
    <xf numFmtId="0" fontId="28" fillId="8" borderId="4" xfId="0" applyFont="1" applyFill="1" applyBorder="1" applyAlignment="1">
      <alignment vertical="center"/>
    </xf>
    <xf numFmtId="0" fontId="28" fillId="8" borderId="5" xfId="0" applyFont="1" applyFill="1" applyBorder="1" applyAlignment="1">
      <alignment vertical="center"/>
    </xf>
    <xf numFmtId="0" fontId="28" fillId="8" borderId="10" xfId="0" applyFont="1" applyFill="1" applyBorder="1" applyAlignment="1">
      <alignment vertical="center"/>
    </xf>
    <xf numFmtId="0" fontId="28" fillId="8" borderId="11" xfId="0" applyFont="1" applyFill="1" applyBorder="1" applyAlignment="1">
      <alignment vertical="center"/>
    </xf>
    <xf numFmtId="0" fontId="30" fillId="5" borderId="0" xfId="0" applyFont="1" applyFill="1" applyAlignment="1">
      <alignment horizontal="center" vertical="center"/>
    </xf>
    <xf numFmtId="9" fontId="31" fillId="0" borderId="0" xfId="4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2" borderId="5" xfId="0" applyFont="1" applyFill="1" applyBorder="1" applyAlignment="1">
      <alignment vertical="center"/>
    </xf>
    <xf numFmtId="0" fontId="33" fillId="8" borderId="5" xfId="0" applyFont="1" applyFill="1" applyBorder="1" applyAlignment="1">
      <alignment vertical="center"/>
    </xf>
    <xf numFmtId="166" fontId="32" fillId="7" borderId="1" xfId="2" applyNumberFormat="1" applyFont="1" applyFill="1" applyBorder="1" applyAlignment="1">
      <alignment horizontal="center" vertical="center" wrapText="1"/>
    </xf>
    <xf numFmtId="166" fontId="34" fillId="7" borderId="1" xfId="2" applyNumberFormat="1" applyFont="1" applyFill="1" applyBorder="1" applyAlignment="1">
      <alignment horizontal="center" vertical="center" wrapText="1"/>
    </xf>
    <xf numFmtId="0" fontId="33" fillId="8" borderId="11" xfId="0" applyFont="1" applyFill="1" applyBorder="1" applyAlignment="1">
      <alignment vertical="center"/>
    </xf>
    <xf numFmtId="166" fontId="32" fillId="7" borderId="0" xfId="2" applyNumberFormat="1" applyFont="1" applyFill="1" applyBorder="1" applyAlignment="1">
      <alignment horizontal="center" vertical="center" wrapText="1"/>
    </xf>
    <xf numFmtId="0" fontId="29" fillId="0" borderId="0" xfId="4" applyFont="1"/>
    <xf numFmtId="0" fontId="24" fillId="0" borderId="0" xfId="0" applyFont="1" applyAlignment="1">
      <alignment horizontal="left" indent="1"/>
    </xf>
    <xf numFmtId="0" fontId="27" fillId="2" borderId="3" xfId="0" applyFont="1" applyFill="1" applyBorder="1" applyAlignment="1">
      <alignment horizontal="left" vertical="center" indent="1"/>
    </xf>
    <xf numFmtId="0" fontId="22" fillId="8" borderId="3" xfId="0" applyFont="1" applyFill="1" applyBorder="1" applyAlignment="1">
      <alignment horizontal="left" vertical="center" indent="1"/>
    </xf>
    <xf numFmtId="0" fontId="22" fillId="8" borderId="9" xfId="0" applyFont="1" applyFill="1" applyBorder="1" applyAlignment="1">
      <alignment horizontal="left" vertical="center" indent="1"/>
    </xf>
    <xf numFmtId="0" fontId="21" fillId="0" borderId="0" xfId="0" applyFont="1" applyBorder="1" applyAlignment="1">
      <alignment horizontal="left" vertical="distributed" wrapText="1" indent="2"/>
    </xf>
    <xf numFmtId="0" fontId="1" fillId="0" borderId="0" xfId="4" applyAlignment="1">
      <alignment horizontal="left" indent="1"/>
    </xf>
    <xf numFmtId="0" fontId="36" fillId="0" borderId="0" xfId="4" applyFont="1"/>
    <xf numFmtId="0" fontId="22" fillId="5" borderId="0" xfId="0" applyFont="1" applyFill="1" applyAlignment="1">
      <alignment horizontal="left" vertical="center"/>
    </xf>
    <xf numFmtId="166" fontId="32" fillId="7" borderId="12" xfId="2" applyNumberFormat="1" applyFont="1" applyFill="1" applyBorder="1" applyAlignment="1">
      <alignment horizontal="center" vertical="center" wrapText="1"/>
    </xf>
    <xf numFmtId="166" fontId="34" fillId="7" borderId="13" xfId="2" applyNumberFormat="1" applyFont="1" applyFill="1" applyBorder="1" applyAlignment="1">
      <alignment horizontal="center" vertical="center" wrapText="1"/>
    </xf>
    <xf numFmtId="1" fontId="21" fillId="0" borderId="17" xfId="0" applyNumberFormat="1" applyFont="1" applyBorder="1" applyAlignment="1">
      <alignment horizontal="center" vertical="center"/>
    </xf>
    <xf numFmtId="0" fontId="20" fillId="7" borderId="17" xfId="0" applyFont="1" applyFill="1" applyBorder="1" applyAlignment="1">
      <alignment horizontal="center" vertical="center" wrapText="1"/>
    </xf>
    <xf numFmtId="166" fontId="20" fillId="7" borderId="17" xfId="2" applyNumberFormat="1" applyFont="1" applyFill="1" applyBorder="1" applyAlignment="1">
      <alignment horizontal="center" vertical="center" wrapText="1"/>
    </xf>
    <xf numFmtId="166" fontId="32" fillId="7" borderId="17" xfId="2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/>
    </xf>
    <xf numFmtId="0" fontId="38" fillId="0" borderId="0" xfId="0" applyFont="1"/>
    <xf numFmtId="0" fontId="39" fillId="0" borderId="0" xfId="5" applyFont="1" applyBorder="1" applyAlignment="1">
      <alignment vertical="top"/>
    </xf>
    <xf numFmtId="0" fontId="21" fillId="7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top"/>
    </xf>
    <xf numFmtId="0" fontId="21" fillId="7" borderId="0" xfId="0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42" fillId="8" borderId="6" xfId="6" applyFont="1" applyFill="1" applyBorder="1" applyAlignment="1" applyProtection="1">
      <alignment vertical="center"/>
      <protection hidden="1"/>
    </xf>
    <xf numFmtId="0" fontId="42" fillId="8" borderId="14" xfId="6" applyFont="1" applyFill="1" applyBorder="1" applyAlignment="1" applyProtection="1">
      <alignment vertical="center"/>
      <protection hidden="1"/>
    </xf>
    <xf numFmtId="0" fontId="42" fillId="8" borderId="9" xfId="6" applyFont="1" applyFill="1" applyBorder="1" applyAlignment="1" applyProtection="1">
      <alignment vertical="center"/>
      <protection hidden="1"/>
    </xf>
    <xf numFmtId="0" fontId="42" fillId="8" borderId="10" xfId="6" applyFont="1" applyFill="1" applyBorder="1" applyAlignment="1" applyProtection="1">
      <alignment vertical="center"/>
      <protection hidden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42" fillId="8" borderId="1" xfId="6" applyFont="1" applyFill="1" applyBorder="1" applyAlignment="1" applyProtection="1">
      <alignment vertical="center"/>
      <protection hidden="1"/>
    </xf>
    <xf numFmtId="0" fontId="21" fillId="0" borderId="0" xfId="0" applyFont="1" applyBorder="1" applyAlignment="1">
      <alignment horizontal="center" vertical="center" wrapText="1"/>
    </xf>
    <xf numFmtId="0" fontId="21" fillId="7" borderId="0" xfId="0" applyFont="1" applyFill="1" applyBorder="1" applyAlignment="1">
      <alignment horizontal="center" vertical="center"/>
    </xf>
    <xf numFmtId="166" fontId="20" fillId="7" borderId="1" xfId="0" applyNumberFormat="1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9" fontId="20" fillId="8" borderId="5" xfId="0" applyNumberFormat="1" applyFont="1" applyFill="1" applyBorder="1" applyAlignment="1">
      <alignment vertical="center" wrapText="1"/>
    </xf>
    <xf numFmtId="166" fontId="0" fillId="0" borderId="0" xfId="0" applyNumberFormat="1"/>
    <xf numFmtId="0" fontId="11" fillId="0" borderId="1" xfId="0" applyFont="1" applyBorder="1"/>
    <xf numFmtId="0" fontId="11" fillId="0" borderId="1" xfId="0" applyFont="1" applyBorder="1" applyAlignment="1">
      <alignment horizontal="left" wrapText="1" indent="1"/>
    </xf>
    <xf numFmtId="0" fontId="40" fillId="0" borderId="1" xfId="5" applyFont="1" applyFill="1" applyBorder="1" applyAlignment="1">
      <alignment horizontal="center" vertical="center" wrapText="1"/>
    </xf>
    <xf numFmtId="166" fontId="11" fillId="0" borderId="1" xfId="2" applyNumberFormat="1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41" fillId="8" borderId="1" xfId="6" applyFont="1" applyFill="1" applyBorder="1" applyAlignment="1" applyProtection="1">
      <alignment horizontal="center" vertical="center" wrapText="1"/>
      <protection hidden="1"/>
    </xf>
    <xf numFmtId="0" fontId="15" fillId="0" borderId="0" xfId="3" applyFill="1" applyAlignment="1" applyProtection="1">
      <alignment vertical="center"/>
    </xf>
    <xf numFmtId="0" fontId="15" fillId="0" borderId="0" xfId="3" applyAlignment="1" applyProtection="1"/>
    <xf numFmtId="0" fontId="25" fillId="0" borderId="0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40" fillId="0" borderId="1" xfId="5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wrapText="1"/>
    </xf>
    <xf numFmtId="0" fontId="21" fillId="7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43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top" wrapText="1"/>
    </xf>
    <xf numFmtId="0" fontId="21" fillId="0" borderId="0" xfId="0" applyFont="1" applyAlignment="1">
      <alignment horizontal="left" wrapText="1" indent="1"/>
    </xf>
    <xf numFmtId="49" fontId="21" fillId="0" borderId="0" xfId="0" applyNumberFormat="1" applyFont="1" applyAlignment="1">
      <alignment horizontal="center" wrapText="1"/>
    </xf>
    <xf numFmtId="0" fontId="46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left" vertical="top" indent="1"/>
    </xf>
    <xf numFmtId="166" fontId="0" fillId="0" borderId="0" xfId="2" applyNumberFormat="1" applyFont="1"/>
    <xf numFmtId="166" fontId="3" fillId="0" borderId="0" xfId="0" applyNumberFormat="1" applyFont="1"/>
    <xf numFmtId="0" fontId="47" fillId="0" borderId="0" xfId="0" applyFont="1" applyAlignment="1">
      <alignment horizontal="left" vertical="top"/>
    </xf>
    <xf numFmtId="0" fontId="48" fillId="2" borderId="1" xfId="0" applyFont="1" applyFill="1" applyBorder="1" applyAlignment="1">
      <alignment horizontal="center" vertical="center"/>
    </xf>
    <xf numFmtId="9" fontId="48" fillId="2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49" fillId="0" borderId="1" xfId="0" applyFont="1" applyBorder="1" applyAlignment="1">
      <alignment horizontal="center" vertical="center" wrapText="1"/>
    </xf>
    <xf numFmtId="9" fontId="50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vertical="top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6" fontId="3" fillId="0" borderId="0" xfId="2" applyNumberFormat="1" applyFont="1"/>
    <xf numFmtId="0" fontId="3" fillId="0" borderId="1" xfId="0" applyFont="1" applyBorder="1"/>
    <xf numFmtId="167" fontId="53" fillId="3" borderId="1" xfId="8" applyNumberFormat="1" applyFont="1" applyFill="1" applyBorder="1" applyAlignment="1">
      <alignment horizontal="center" vertical="center"/>
    </xf>
    <xf numFmtId="0" fontId="0" fillId="9" borderId="1" xfId="0" applyFill="1" applyBorder="1"/>
    <xf numFmtId="167" fontId="53" fillId="9" borderId="1" xfId="8" applyNumberFormat="1" applyFont="1" applyFill="1" applyBorder="1" applyAlignment="1">
      <alignment horizontal="center" vertical="center"/>
    </xf>
    <xf numFmtId="167" fontId="53" fillId="2" borderId="1" xfId="8" applyNumberFormat="1" applyFont="1" applyFill="1" applyBorder="1" applyAlignment="1">
      <alignment horizontal="center" vertical="center"/>
    </xf>
    <xf numFmtId="167" fontId="53" fillId="10" borderId="1" xfId="8" applyNumberFormat="1" applyFont="1" applyFill="1" applyBorder="1" applyAlignment="1">
      <alignment horizontal="center" vertical="center"/>
    </xf>
    <xf numFmtId="167" fontId="53" fillId="4" borderId="1" xfId="8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wrapText="1"/>
    </xf>
    <xf numFmtId="0" fontId="54" fillId="0" borderId="1" xfId="0" applyFont="1" applyBorder="1"/>
    <xf numFmtId="0" fontId="11" fillId="0" borderId="0" xfId="0" applyFont="1"/>
    <xf numFmtId="0" fontId="11" fillId="0" borderId="1" xfId="0" applyFont="1" applyBorder="1" applyAlignment="1">
      <alignment wrapText="1"/>
    </xf>
    <xf numFmtId="0" fontId="2" fillId="2" borderId="1" xfId="0" applyFont="1" applyFill="1" applyBorder="1"/>
    <xf numFmtId="0" fontId="0" fillId="0" borderId="1" xfId="0" applyBorder="1" applyAlignment="1">
      <alignment horizontal="center" vertical="center" wrapText="1"/>
    </xf>
    <xf numFmtId="0" fontId="3" fillId="4" borderId="1" xfId="0" applyFont="1" applyFill="1" applyBorder="1"/>
    <xf numFmtId="0" fontId="11" fillId="0" borderId="1" xfId="0" applyFont="1" applyBorder="1" applyAlignment="1">
      <alignment horizontal="center" vertical="center" wrapText="1"/>
    </xf>
    <xf numFmtId="0" fontId="0" fillId="9" borderId="1" xfId="0" applyFill="1" applyBorder="1" applyAlignment="1">
      <alignment vertical="center"/>
    </xf>
    <xf numFmtId="0" fontId="3" fillId="0" borderId="0" xfId="0" applyFont="1" applyFill="1"/>
    <xf numFmtId="0" fontId="0" fillId="9" borderId="2" xfId="0" applyFill="1" applyBorder="1" applyAlignment="1">
      <alignment vertical="center"/>
    </xf>
    <xf numFmtId="0" fontId="0" fillId="3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167" fontId="53" fillId="10" borderId="2" xfId="8" applyNumberFormat="1" applyFont="1" applyFill="1" applyBorder="1" applyAlignment="1">
      <alignment horizontal="center" vertical="center"/>
    </xf>
    <xf numFmtId="0" fontId="55" fillId="0" borderId="1" xfId="0" applyFont="1" applyBorder="1" applyAlignment="1">
      <alignment horizontal="right"/>
    </xf>
    <xf numFmtId="0" fontId="0" fillId="5" borderId="1" xfId="0" applyFill="1" applyBorder="1"/>
    <xf numFmtId="0" fontId="3" fillId="5" borderId="1" xfId="0" applyFont="1" applyFill="1" applyBorder="1"/>
    <xf numFmtId="167" fontId="0" fillId="4" borderId="1" xfId="8" applyNumberFormat="1" applyFont="1" applyFill="1" applyBorder="1"/>
    <xf numFmtId="167" fontId="0" fillId="0" borderId="1" xfId="8" applyNumberFormat="1" applyFont="1" applyBorder="1"/>
    <xf numFmtId="167" fontId="3" fillId="0" borderId="1" xfId="8" applyNumberFormat="1" applyFont="1" applyBorder="1"/>
    <xf numFmtId="0" fontId="11" fillId="4" borderId="1" xfId="0" applyFont="1" applyFill="1" applyBorder="1"/>
    <xf numFmtId="0" fontId="56" fillId="0" borderId="1" xfId="0" applyFont="1" applyBorder="1"/>
    <xf numFmtId="0" fontId="57" fillId="0" borderId="1" xfId="0" applyFont="1" applyBorder="1"/>
    <xf numFmtId="167" fontId="0" fillId="0" borderId="1" xfId="0" applyNumberFormat="1" applyBorder="1"/>
    <xf numFmtId="0" fontId="29" fillId="0" borderId="1" xfId="0" applyFont="1" applyBorder="1"/>
    <xf numFmtId="0" fontId="31" fillId="0" borderId="1" xfId="0" applyFont="1" applyBorder="1"/>
    <xf numFmtId="167" fontId="29" fillId="0" borderId="1" xfId="8" applyNumberFormat="1" applyFont="1" applyBorder="1"/>
    <xf numFmtId="0" fontId="21" fillId="7" borderId="2" xfId="0" applyFont="1" applyFill="1" applyBorder="1" applyAlignment="1">
      <alignment vertical="center" wrapText="1"/>
    </xf>
    <xf numFmtId="0" fontId="20" fillId="7" borderId="2" xfId="0" applyFont="1" applyFill="1" applyBorder="1" applyAlignment="1">
      <alignment vertical="center" wrapText="1"/>
    </xf>
    <xf numFmtId="0" fontId="21" fillId="7" borderId="1" xfId="0" applyFont="1" applyFill="1" applyBorder="1" applyAlignment="1">
      <alignment vertical="center" wrapText="1"/>
    </xf>
    <xf numFmtId="166" fontId="2" fillId="0" borderId="0" xfId="0" applyNumberFormat="1" applyFont="1"/>
    <xf numFmtId="0" fontId="11" fillId="5" borderId="1" xfId="0" applyFont="1" applyFill="1" applyBorder="1" applyAlignment="1">
      <alignment horizontal="center" vertical="center" wrapText="1"/>
    </xf>
    <xf numFmtId="166" fontId="0" fillId="5" borderId="0" xfId="0" applyNumberFormat="1" applyFill="1"/>
    <xf numFmtId="0" fontId="20" fillId="0" borderId="1" xfId="0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21" fillId="0" borderId="0" xfId="0" applyFont="1" applyAlignment="1">
      <alignment horizontal="center" vertical="top" wrapText="1"/>
    </xf>
    <xf numFmtId="167" fontId="0" fillId="5" borderId="1" xfId="8" applyNumberFormat="1" applyFont="1" applyFill="1" applyBorder="1"/>
    <xf numFmtId="167" fontId="2" fillId="2" borderId="1" xfId="8" applyNumberFormat="1" applyFont="1" applyFill="1" applyBorder="1" applyAlignment="1">
      <alignment vertical="center"/>
    </xf>
    <xf numFmtId="167" fontId="3" fillId="5" borderId="1" xfId="8" applyNumberFormat="1" applyFont="1" applyFill="1" applyBorder="1" applyAlignment="1">
      <alignment vertical="center"/>
    </xf>
    <xf numFmtId="167" fontId="12" fillId="2" borderId="1" xfId="8" applyNumberFormat="1" applyFont="1" applyFill="1" applyBorder="1" applyAlignment="1">
      <alignment vertical="center"/>
    </xf>
    <xf numFmtId="167" fontId="0" fillId="5" borderId="1" xfId="8" applyNumberFormat="1" applyFont="1" applyFill="1" applyBorder="1" applyAlignment="1">
      <alignment vertical="center"/>
    </xf>
    <xf numFmtId="167" fontId="3" fillId="0" borderId="1" xfId="8" applyNumberFormat="1" applyFont="1" applyBorder="1" applyAlignment="1">
      <alignment vertical="center"/>
    </xf>
    <xf numFmtId="167" fontId="0" fillId="0" borderId="1" xfId="8" applyNumberFormat="1" applyFont="1" applyBorder="1" applyAlignment="1">
      <alignment vertical="center"/>
    </xf>
    <xf numFmtId="167" fontId="29" fillId="5" borderId="1" xfId="8" applyNumberFormat="1" applyFont="1" applyFill="1" applyBorder="1"/>
    <xf numFmtId="167" fontId="31" fillId="0" borderId="1" xfId="8" applyNumberFormat="1" applyFont="1" applyBorder="1" applyAlignment="1">
      <alignment horizontal="center" vertical="center" wrapText="1"/>
    </xf>
    <xf numFmtId="167" fontId="2" fillId="0" borderId="1" xfId="8" applyNumberFormat="1" applyFont="1" applyBorder="1"/>
    <xf numFmtId="167" fontId="0" fillId="0" borderId="0" xfId="8" applyNumberFormat="1" applyFont="1" applyAlignment="1">
      <alignment horizontal="center" vertical="center" wrapText="1"/>
    </xf>
    <xf numFmtId="167" fontId="0" fillId="0" borderId="0" xfId="8" applyNumberFormat="1" applyFont="1"/>
    <xf numFmtId="167" fontId="3" fillId="5" borderId="1" xfId="8" applyNumberFormat="1" applyFont="1" applyFill="1" applyBorder="1"/>
    <xf numFmtId="167" fontId="3" fillId="4" borderId="1" xfId="8" applyNumberFormat="1" applyFont="1" applyFill="1" applyBorder="1"/>
    <xf numFmtId="167" fontId="12" fillId="4" borderId="1" xfId="8" applyNumberFormat="1" applyFont="1" applyFill="1" applyBorder="1"/>
    <xf numFmtId="167" fontId="3" fillId="0" borderId="0" xfId="8" applyNumberFormat="1" applyFont="1" applyFill="1"/>
    <xf numFmtId="0" fontId="60" fillId="0" borderId="0" xfId="0" applyFont="1" applyAlignment="1">
      <alignment vertical="center"/>
    </xf>
    <xf numFmtId="0" fontId="21" fillId="0" borderId="0" xfId="0" applyFont="1" applyAlignment="1">
      <alignment horizontal="left" indent="1"/>
    </xf>
    <xf numFmtId="0" fontId="0" fillId="0" borderId="1" xfId="0" applyBorder="1" applyAlignment="1">
      <alignment horizontal="center" vertical="center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40" fillId="0" borderId="1" xfId="5" applyFont="1" applyFill="1" applyBorder="1" applyAlignment="1">
      <alignment horizontal="center" vertical="center" wrapText="1"/>
    </xf>
    <xf numFmtId="0" fontId="15" fillId="0" borderId="0" xfId="3" applyAlignment="1" applyProtection="1"/>
    <xf numFmtId="166" fontId="21" fillId="0" borderId="1" xfId="2" applyNumberFormat="1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top" wrapText="1"/>
    </xf>
    <xf numFmtId="0" fontId="34" fillId="0" borderId="1" xfId="0" applyFont="1" applyBorder="1" applyAlignment="1">
      <alignment horizontal="center" vertical="center" wrapText="1"/>
    </xf>
    <xf numFmtId="166" fontId="34" fillId="0" borderId="1" xfId="2" applyNumberFormat="1" applyFont="1" applyBorder="1" applyAlignment="1">
      <alignment horizontal="center" vertical="center"/>
    </xf>
    <xf numFmtId="0" fontId="21" fillId="0" borderId="19" xfId="0" applyFont="1" applyBorder="1" applyAlignment="1">
      <alignment vertical="top" wrapText="1"/>
    </xf>
    <xf numFmtId="0" fontId="21" fillId="0" borderId="14" xfId="0" applyFont="1" applyBorder="1" applyAlignment="1">
      <alignment vertical="top" wrapText="1"/>
    </xf>
    <xf numFmtId="0" fontId="61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/>
    <xf numFmtId="0" fontId="64" fillId="0" borderId="0" xfId="0" applyFont="1" applyAlignment="1">
      <alignment horizontal="center" vertical="center"/>
    </xf>
    <xf numFmtId="0" fontId="38" fillId="0" borderId="0" xfId="10" applyFont="1" applyFill="1" applyBorder="1" applyAlignment="1">
      <alignment horizontal="left" vertical="center" indent="2"/>
    </xf>
    <xf numFmtId="0" fontId="65" fillId="0" borderId="0" xfId="3" applyFont="1" applyBorder="1" applyAlignment="1" applyProtection="1">
      <alignment horizontal="left" vertical="center" wrapText="1" indent="2"/>
    </xf>
    <xf numFmtId="0" fontId="1" fillId="0" borderId="0" xfId="0" applyFont="1"/>
    <xf numFmtId="166" fontId="21" fillId="7" borderId="3" xfId="2" applyNumberFormat="1" applyFont="1" applyFill="1" applyBorder="1" applyAlignment="1">
      <alignment vertical="center" wrapText="1"/>
    </xf>
    <xf numFmtId="0" fontId="15" fillId="0" borderId="0" xfId="3" applyBorder="1" applyAlignment="1" applyProtection="1">
      <alignment vertical="center" wrapText="1"/>
    </xf>
    <xf numFmtId="0" fontId="16" fillId="5" borderId="10" xfId="0" applyFont="1" applyFill="1" applyBorder="1" applyAlignment="1">
      <alignment vertical="center"/>
    </xf>
    <xf numFmtId="0" fontId="16" fillId="5" borderId="0" xfId="0" applyFont="1" applyFill="1" applyAlignment="1">
      <alignment vertical="center"/>
    </xf>
    <xf numFmtId="0" fontId="0" fillId="0" borderId="6" xfId="0" applyBorder="1" applyAlignment="1">
      <alignment horizontal="center" vertical="center"/>
    </xf>
    <xf numFmtId="0" fontId="38" fillId="0" borderId="0" xfId="10" applyFont="1" applyFill="1" applyBorder="1" applyAlignment="1">
      <alignment vertical="center" wrapText="1"/>
    </xf>
    <xf numFmtId="0" fontId="67" fillId="0" borderId="1" xfId="0" applyFont="1" applyBorder="1"/>
    <xf numFmtId="0" fontId="67" fillId="0" borderId="1" xfId="0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0" fillId="0" borderId="0" xfId="0" applyFill="1" applyAlignment="1">
      <alignment wrapText="1"/>
    </xf>
    <xf numFmtId="0" fontId="43" fillId="0" borderId="0" xfId="0" applyFont="1" applyBorder="1" applyAlignment="1">
      <alignment horizontal="center" vertical="center"/>
    </xf>
    <xf numFmtId="0" fontId="0" fillId="0" borderId="0" xfId="0" applyBorder="1"/>
    <xf numFmtId="0" fontId="38" fillId="0" borderId="0" xfId="10" applyFont="1" applyFill="1" applyBorder="1" applyAlignment="1">
      <alignment horizontal="left" vertical="center" indent="1"/>
    </xf>
    <xf numFmtId="0" fontId="67" fillId="11" borderId="1" xfId="0" applyFont="1" applyFill="1" applyBorder="1"/>
    <xf numFmtId="0" fontId="67" fillId="11" borderId="1" xfId="0" applyFont="1" applyFill="1" applyBorder="1" applyAlignment="1">
      <alignment horizontal="center" vertical="center"/>
    </xf>
    <xf numFmtId="0" fontId="21" fillId="11" borderId="3" xfId="0" applyFont="1" applyFill="1" applyBorder="1" applyAlignment="1">
      <alignment horizontal="left" vertical="center" wrapText="1"/>
    </xf>
    <xf numFmtId="0" fontId="21" fillId="11" borderId="3" xfId="0" applyFont="1" applyFill="1" applyBorder="1" applyAlignment="1">
      <alignment horizontal="center" vertical="center" wrapText="1"/>
    </xf>
    <xf numFmtId="166" fontId="21" fillId="11" borderId="1" xfId="2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0" fillId="11" borderId="0" xfId="0" applyFill="1"/>
    <xf numFmtId="0" fontId="0" fillId="11" borderId="0" xfId="0" applyFill="1" applyAlignment="1">
      <alignment horizontal="center" vertical="center"/>
    </xf>
    <xf numFmtId="0" fontId="0" fillId="11" borderId="1" xfId="0" applyFill="1" applyBorder="1" applyAlignment="1">
      <alignment wrapText="1"/>
    </xf>
    <xf numFmtId="167" fontId="0" fillId="11" borderId="1" xfId="8" applyNumberFormat="1" applyFont="1" applyFill="1" applyBorder="1" applyAlignment="1">
      <alignment vertical="center" wrapText="1"/>
    </xf>
    <xf numFmtId="0" fontId="14" fillId="11" borderId="1" xfId="0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166" fontId="68" fillId="7" borderId="1" xfId="2" applyNumberFormat="1" applyFont="1" applyFill="1" applyBorder="1" applyAlignment="1">
      <alignment horizontal="center" vertical="center" wrapText="1"/>
    </xf>
    <xf numFmtId="9" fontId="69" fillId="0" borderId="0" xfId="1" applyFont="1" applyBorder="1" applyAlignment="1">
      <alignment vertical="top"/>
    </xf>
    <xf numFmtId="0" fontId="20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40" fillId="0" borderId="1" xfId="5" applyFont="1" applyFill="1" applyBorder="1" applyAlignment="1">
      <alignment horizontal="center" vertical="center" wrapText="1"/>
    </xf>
    <xf numFmtId="0" fontId="70" fillId="0" borderId="0" xfId="10" applyFont="1" applyFill="1" applyBorder="1" applyAlignment="1">
      <alignment horizontal="left" vertical="center" indent="1"/>
    </xf>
    <xf numFmtId="0" fontId="20" fillId="0" borderId="13" xfId="0" applyFont="1" applyBorder="1" applyAlignment="1">
      <alignment horizontal="center" vertical="center" wrapText="1"/>
    </xf>
    <xf numFmtId="166" fontId="20" fillId="0" borderId="13" xfId="2" applyNumberFormat="1" applyFont="1" applyBorder="1" applyAlignment="1">
      <alignment horizontal="center" vertical="center"/>
    </xf>
    <xf numFmtId="0" fontId="67" fillId="7" borderId="12" xfId="0" applyFont="1" applyFill="1" applyBorder="1"/>
    <xf numFmtId="0" fontId="67" fillId="7" borderId="12" xfId="0" applyFont="1" applyFill="1" applyBorder="1" applyAlignment="1">
      <alignment horizontal="center" vertical="center"/>
    </xf>
    <xf numFmtId="0" fontId="67" fillId="7" borderId="1" xfId="0" applyFont="1" applyFill="1" applyBorder="1"/>
    <xf numFmtId="0" fontId="67" fillId="7" borderId="1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0" fontId="2" fillId="0" borderId="0" xfId="0" applyFont="1"/>
    <xf numFmtId="168" fontId="0" fillId="0" borderId="0" xfId="2" applyNumberFormat="1" applyFont="1"/>
    <xf numFmtId="0" fontId="21" fillId="0" borderId="0" xfId="0" applyFont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1" fillId="7" borderId="0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168" fontId="3" fillId="0" borderId="0" xfId="0" applyNumberFormat="1" applyFont="1"/>
    <xf numFmtId="168" fontId="0" fillId="0" borderId="0" xfId="0" applyNumberFormat="1"/>
    <xf numFmtId="168" fontId="43" fillId="0" borderId="0" xfId="0" applyNumberFormat="1" applyFont="1" applyAlignment="1">
      <alignment horizontal="center" vertical="center"/>
    </xf>
    <xf numFmtId="166" fontId="20" fillId="7" borderId="5" xfId="2" applyNumberFormat="1" applyFont="1" applyFill="1" applyBorder="1" applyAlignment="1">
      <alignment horizontal="center" vertical="center" wrapText="1"/>
    </xf>
    <xf numFmtId="168" fontId="1" fillId="0" borderId="0" xfId="0" applyNumberFormat="1" applyFont="1"/>
    <xf numFmtId="0" fontId="7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top" wrapText="1"/>
    </xf>
    <xf numFmtId="0" fontId="15" fillId="0" borderId="0" xfId="3" applyFont="1" applyBorder="1" applyAlignment="1" applyProtection="1">
      <alignment vertical="center" wrapText="1"/>
    </xf>
    <xf numFmtId="0" fontId="70" fillId="0" borderId="0" xfId="10" applyFont="1" applyFill="1" applyBorder="1" applyAlignment="1">
      <alignment horizontal="left" vertical="center" indent="2"/>
    </xf>
    <xf numFmtId="0" fontId="15" fillId="0" borderId="0" xfId="3" applyFont="1" applyBorder="1" applyAlignment="1" applyProtection="1">
      <alignment horizontal="left" vertical="center" wrapText="1" indent="2"/>
    </xf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0" fillId="0" borderId="0" xfId="10" applyFont="1" applyFill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166" fontId="20" fillId="7" borderId="0" xfId="0" applyNumberFormat="1" applyFont="1" applyFill="1" applyBorder="1" applyAlignment="1">
      <alignment horizontal="center" vertical="center" wrapText="1"/>
    </xf>
    <xf numFmtId="0" fontId="21" fillId="7" borderId="4" xfId="0" applyFont="1" applyFill="1" applyBorder="1" applyAlignment="1">
      <alignment horizontal="center" vertical="center" wrapText="1"/>
    </xf>
    <xf numFmtId="166" fontId="21" fillId="7" borderId="4" xfId="2" applyNumberFormat="1" applyFont="1" applyFill="1" applyBorder="1" applyAlignment="1">
      <alignment horizontal="center" vertical="center" wrapText="1"/>
    </xf>
    <xf numFmtId="166" fontId="21" fillId="7" borderId="5" xfId="2" applyNumberFormat="1" applyFont="1" applyFill="1" applyBorder="1" applyAlignment="1">
      <alignment horizontal="center" vertical="center" wrapText="1"/>
    </xf>
    <xf numFmtId="166" fontId="21" fillId="7" borderId="1" xfId="2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0" fillId="7" borderId="5" xfId="0" applyFont="1" applyFill="1" applyBorder="1" applyAlignment="1">
      <alignment horizontal="center" vertical="center" wrapText="1"/>
    </xf>
    <xf numFmtId="0" fontId="21" fillId="7" borderId="5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8" fontId="1" fillId="0" borderId="0" xfId="4" applyNumberFormat="1"/>
    <xf numFmtId="0" fontId="20" fillId="0" borderId="1" xfId="0" applyFont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center" vertical="center" wrapText="1"/>
    </xf>
    <xf numFmtId="166" fontId="21" fillId="0" borderId="1" xfId="2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/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63" fillId="0" borderId="0" xfId="0" applyFont="1" applyAlignment="1">
      <alignment horizontal="center"/>
    </xf>
    <xf numFmtId="0" fontId="63" fillId="0" borderId="0" xfId="0" applyFont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/>
    </xf>
    <xf numFmtId="1" fontId="0" fillId="0" borderId="1" xfId="0" applyNumberFormat="1" applyBorder="1"/>
    <xf numFmtId="1" fontId="11" fillId="0" borderId="1" xfId="0" applyNumberFormat="1" applyFont="1" applyBorder="1"/>
    <xf numFmtId="168" fontId="29" fillId="0" borderId="1" xfId="8" applyNumberFormat="1" applyFont="1" applyBorder="1"/>
    <xf numFmtId="166" fontId="21" fillId="11" borderId="5" xfId="2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66" fontId="21" fillId="0" borderId="0" xfId="2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67" fillId="0" borderId="0" xfId="0" applyFont="1" applyFill="1" applyBorder="1" applyAlignment="1"/>
    <xf numFmtId="0" fontId="73" fillId="0" borderId="0" xfId="3" applyFont="1" applyAlignment="1" applyProtection="1">
      <alignment horizontal="right"/>
    </xf>
    <xf numFmtId="0" fontId="42" fillId="0" borderId="0" xfId="10" applyFont="1" applyFill="1" applyBorder="1" applyAlignment="1">
      <alignment horizontal="left" vertical="center" indent="1"/>
    </xf>
    <xf numFmtId="0" fontId="21" fillId="7" borderId="1" xfId="0" applyFont="1" applyFill="1" applyBorder="1" applyAlignment="1">
      <alignment horizontal="center" vertical="center" wrapText="1"/>
    </xf>
    <xf numFmtId="0" fontId="15" fillId="0" borderId="0" xfId="3" applyFill="1" applyAlignment="1" applyProtection="1">
      <alignment horizontal="left" vertical="center"/>
    </xf>
    <xf numFmtId="0" fontId="15" fillId="5" borderId="0" xfId="3" applyFill="1" applyAlignment="1" applyProtection="1">
      <alignment horizontal="left" vertical="center"/>
    </xf>
    <xf numFmtId="0" fontId="63" fillId="0" borderId="1" xfId="4" applyFont="1" applyBorder="1" applyAlignment="1">
      <alignment horizontal="center" wrapText="1"/>
    </xf>
    <xf numFmtId="0" fontId="21" fillId="0" borderId="1" xfId="0" applyFont="1" applyBorder="1" applyAlignment="1">
      <alignment horizontal="center" vertical="distributed" wrapText="1"/>
    </xf>
    <xf numFmtId="0" fontId="21" fillId="0" borderId="1" xfId="0" applyFont="1" applyBorder="1" applyAlignment="1">
      <alignment horizontal="left" vertical="center" wrapText="1" indent="1"/>
    </xf>
    <xf numFmtId="0" fontId="21" fillId="0" borderId="1" xfId="0" applyFont="1" applyBorder="1" applyAlignment="1">
      <alignment horizontal="left" vertical="distributed" wrapText="1" indent="1"/>
    </xf>
    <xf numFmtId="0" fontId="20" fillId="0" borderId="1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left" vertical="distributed" wrapText="1" indent="1"/>
    </xf>
    <xf numFmtId="0" fontId="34" fillId="0" borderId="4" xfId="0" applyFont="1" applyBorder="1" applyAlignment="1">
      <alignment horizontal="left" vertical="distributed" wrapText="1" indent="1"/>
    </xf>
    <xf numFmtId="0" fontId="34" fillId="0" borderId="5" xfId="0" applyFont="1" applyBorder="1" applyAlignment="1">
      <alignment horizontal="left" vertical="distributed" wrapText="1" indent="1"/>
    </xf>
    <xf numFmtId="0" fontId="21" fillId="0" borderId="12" xfId="0" applyFont="1" applyBorder="1" applyAlignment="1">
      <alignment horizontal="left" vertical="distributed" wrapText="1" indent="1"/>
    </xf>
    <xf numFmtId="0" fontId="21" fillId="0" borderId="6" xfId="0" applyFont="1" applyBorder="1" applyAlignment="1">
      <alignment horizontal="left" vertical="distributed" wrapText="1" indent="1"/>
    </xf>
    <xf numFmtId="0" fontId="21" fillId="0" borderId="14" xfId="0" applyFont="1" applyBorder="1" applyAlignment="1">
      <alignment horizontal="left" vertical="distributed" wrapText="1" indent="1"/>
    </xf>
    <xf numFmtId="0" fontId="21" fillId="0" borderId="15" xfId="0" applyFont="1" applyBorder="1" applyAlignment="1">
      <alignment horizontal="left" vertical="distributed" wrapText="1" indent="1"/>
    </xf>
    <xf numFmtId="0" fontId="21" fillId="0" borderId="7" xfId="0" applyFont="1" applyBorder="1" applyAlignment="1">
      <alignment horizontal="left" vertical="distributed" wrapText="1" indent="1"/>
    </xf>
    <xf numFmtId="0" fontId="21" fillId="0" borderId="0" xfId="0" applyFont="1" applyBorder="1" applyAlignment="1">
      <alignment horizontal="left" vertical="distributed" wrapText="1" indent="1"/>
    </xf>
    <xf numFmtId="0" fontId="21" fillId="0" borderId="8" xfId="0" applyFont="1" applyBorder="1" applyAlignment="1">
      <alignment horizontal="left" vertical="distributed" wrapText="1" indent="1"/>
    </xf>
    <xf numFmtId="0" fontId="21" fillId="0" borderId="9" xfId="0" applyFont="1" applyBorder="1" applyAlignment="1">
      <alignment horizontal="left" vertical="distributed" wrapText="1" indent="1"/>
    </xf>
    <xf numFmtId="0" fontId="21" fillId="0" borderId="10" xfId="0" applyFont="1" applyBorder="1" applyAlignment="1">
      <alignment horizontal="left" vertical="distributed" wrapText="1" indent="1"/>
    </xf>
    <xf numFmtId="0" fontId="21" fillId="0" borderId="11" xfId="0" applyFont="1" applyBorder="1" applyAlignment="1">
      <alignment horizontal="left" vertical="distributed" wrapText="1" indent="1"/>
    </xf>
    <xf numFmtId="0" fontId="35" fillId="0" borderId="0" xfId="0" applyFont="1" applyBorder="1" applyAlignment="1">
      <alignment horizontal="left" vertical="top" wrapText="1"/>
    </xf>
    <xf numFmtId="0" fontId="21" fillId="0" borderId="12" xfId="0" applyFont="1" applyBorder="1" applyAlignment="1">
      <alignment horizontal="center" vertical="distributed" wrapText="1"/>
    </xf>
    <xf numFmtId="0" fontId="21" fillId="0" borderId="13" xfId="0" applyFont="1" applyBorder="1" applyAlignment="1">
      <alignment horizontal="left" vertical="distributed" wrapText="1" indent="1"/>
    </xf>
    <xf numFmtId="0" fontId="21" fillId="0" borderId="17" xfId="0" applyFont="1" applyBorder="1" applyAlignment="1">
      <alignment horizontal="left" vertical="distributed" wrapText="1" indent="1"/>
    </xf>
    <xf numFmtId="0" fontId="21" fillId="0" borderId="3" xfId="0" applyFont="1" applyBorder="1" applyAlignment="1">
      <alignment horizontal="left" vertical="center" wrapText="1" indent="1"/>
    </xf>
    <xf numFmtId="0" fontId="21" fillId="0" borderId="4" xfId="0" applyFont="1" applyBorder="1" applyAlignment="1">
      <alignment horizontal="left" vertical="center" wrapText="1" indent="1"/>
    </xf>
    <xf numFmtId="0" fontId="21" fillId="0" borderId="5" xfId="0" applyFont="1" applyBorder="1" applyAlignment="1">
      <alignment horizontal="left" vertical="center" wrapText="1" indent="1"/>
    </xf>
    <xf numFmtId="0" fontId="21" fillId="0" borderId="1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distributed" wrapText="1"/>
    </xf>
    <xf numFmtId="0" fontId="21" fillId="0" borderId="13" xfId="0" applyFont="1" applyBorder="1" applyAlignment="1">
      <alignment horizontal="center" vertical="distributed" wrapText="1"/>
    </xf>
    <xf numFmtId="0" fontId="25" fillId="0" borderId="1" xfId="0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/>
    </xf>
    <xf numFmtId="0" fontId="19" fillId="6" borderId="3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51" fillId="0" borderId="0" xfId="0" applyFont="1" applyAlignment="1">
      <alignment horizontal="left" vertical="top" inden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9" fillId="6" borderId="12" xfId="0" applyFont="1" applyFill="1" applyBorder="1" applyAlignment="1">
      <alignment horizontal="center" vertical="center"/>
    </xf>
    <xf numFmtId="0" fontId="21" fillId="8" borderId="3" xfId="0" applyFont="1" applyFill="1" applyBorder="1" applyAlignment="1">
      <alignment horizontal="center" vertical="center" wrapText="1"/>
    </xf>
    <xf numFmtId="0" fontId="21" fillId="8" borderId="5" xfId="0" applyFont="1" applyFill="1" applyBorder="1" applyAlignment="1">
      <alignment horizontal="center" vertical="center" wrapText="1"/>
    </xf>
    <xf numFmtId="0" fontId="21" fillId="7" borderId="2" xfId="0" applyFont="1" applyFill="1" applyBorder="1" applyAlignment="1">
      <alignment horizontal="center" vertical="center"/>
    </xf>
    <xf numFmtId="0" fontId="21" fillId="7" borderId="16" xfId="0" applyFont="1" applyFill="1" applyBorder="1" applyAlignment="1">
      <alignment horizontal="center" vertical="center"/>
    </xf>
    <xf numFmtId="0" fontId="21" fillId="7" borderId="12" xfId="0" applyFont="1" applyFill="1" applyBorder="1" applyAlignment="1">
      <alignment horizontal="center" vertical="center"/>
    </xf>
    <xf numFmtId="0" fontId="40" fillId="0" borderId="2" xfId="5" applyFont="1" applyFill="1" applyBorder="1" applyAlignment="1">
      <alignment horizontal="center" vertical="center" wrapText="1"/>
    </xf>
    <xf numFmtId="0" fontId="40" fillId="0" borderId="16" xfId="5" applyFont="1" applyFill="1" applyBorder="1" applyAlignment="1">
      <alignment horizontal="center" vertical="center" wrapText="1"/>
    </xf>
    <xf numFmtId="0" fontId="40" fillId="0" borderId="12" xfId="5" applyFont="1" applyFill="1" applyBorder="1" applyAlignment="1">
      <alignment horizontal="center" vertical="center" wrapText="1"/>
    </xf>
    <xf numFmtId="166" fontId="11" fillId="0" borderId="2" xfId="2" applyNumberFormat="1" applyFont="1" applyBorder="1" applyAlignment="1">
      <alignment horizontal="center" vertical="center"/>
    </xf>
    <xf numFmtId="166" fontId="11" fillId="0" borderId="16" xfId="2" applyNumberFormat="1" applyFont="1" applyBorder="1" applyAlignment="1">
      <alignment horizontal="center" vertical="center"/>
    </xf>
    <xf numFmtId="166" fontId="11" fillId="0" borderId="12" xfId="2" applyNumberFormat="1" applyFont="1" applyBorder="1" applyAlignment="1">
      <alignment horizontal="center" vertical="center"/>
    </xf>
    <xf numFmtId="0" fontId="21" fillId="7" borderId="6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21" fillId="7" borderId="7" xfId="0" applyFont="1" applyFill="1" applyBorder="1" applyAlignment="1">
      <alignment horizontal="center" vertical="center" wrapText="1"/>
    </xf>
    <xf numFmtId="0" fontId="21" fillId="7" borderId="8" xfId="0" applyFont="1" applyFill="1" applyBorder="1" applyAlignment="1">
      <alignment horizontal="center" vertical="center" wrapText="1"/>
    </xf>
    <xf numFmtId="0" fontId="21" fillId="7" borderId="9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top" wrapText="1" indent="1"/>
    </xf>
    <xf numFmtId="0" fontId="20" fillId="0" borderId="0" xfId="0" applyFont="1" applyAlignment="1">
      <alignment horizontal="left" vertical="top" indent="1"/>
    </xf>
    <xf numFmtId="0" fontId="42" fillId="8" borderId="1" xfId="6" applyFont="1" applyFill="1" applyBorder="1" applyAlignment="1" applyProtection="1">
      <alignment horizontal="center" vertical="center"/>
      <protection hidden="1"/>
    </xf>
    <xf numFmtId="0" fontId="42" fillId="8" borderId="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/>
    </xf>
    <xf numFmtId="0" fontId="21" fillId="7" borderId="7" xfId="0" applyFont="1" applyFill="1" applyBorder="1" applyAlignment="1">
      <alignment horizontal="center" vertical="center"/>
    </xf>
    <xf numFmtId="0" fontId="21" fillId="7" borderId="9" xfId="0" applyFont="1" applyFill="1" applyBorder="1" applyAlignment="1">
      <alignment horizontal="center" vertical="center"/>
    </xf>
    <xf numFmtId="0" fontId="42" fillId="8" borderId="6" xfId="6" applyFont="1" applyFill="1" applyBorder="1" applyAlignment="1" applyProtection="1">
      <alignment horizontal="center" vertical="center"/>
      <protection hidden="1"/>
    </xf>
    <xf numFmtId="0" fontId="42" fillId="8" borderId="14" xfId="6" applyFont="1" applyFill="1" applyBorder="1" applyAlignment="1" applyProtection="1">
      <alignment horizontal="center" vertical="center"/>
      <protection hidden="1"/>
    </xf>
    <xf numFmtId="0" fontId="42" fillId="8" borderId="9" xfId="6" applyFont="1" applyFill="1" applyBorder="1" applyAlignment="1" applyProtection="1">
      <alignment horizontal="center" vertical="center"/>
      <protection hidden="1"/>
    </xf>
    <xf numFmtId="0" fontId="42" fillId="8" borderId="10" xfId="6" applyFont="1" applyFill="1" applyBorder="1" applyAlignment="1" applyProtection="1">
      <alignment horizontal="center" vertical="center"/>
      <protection hidden="1"/>
    </xf>
    <xf numFmtId="0" fontId="25" fillId="0" borderId="14" xfId="0" applyFont="1" applyBorder="1" applyAlignment="1">
      <alignment horizontal="left" vertical="top" wrapText="1"/>
    </xf>
    <xf numFmtId="0" fontId="7" fillId="8" borderId="1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38" fillId="0" borderId="0" xfId="10" applyFont="1" applyFill="1" applyBorder="1" applyAlignment="1">
      <alignment horizontal="left" vertical="center" wrapText="1" indent="2"/>
    </xf>
    <xf numFmtId="0" fontId="21" fillId="0" borderId="1" xfId="0" applyFont="1" applyBorder="1" applyAlignment="1">
      <alignment horizontal="left" wrapText="1" indent="1"/>
    </xf>
    <xf numFmtId="49" fontId="21" fillId="0" borderId="1" xfId="0" applyNumberFormat="1" applyFont="1" applyBorder="1" applyAlignment="1">
      <alignment horizontal="center" wrapText="1"/>
    </xf>
    <xf numFmtId="0" fontId="15" fillId="0" borderId="0" xfId="3" applyAlignment="1" applyProtection="1"/>
    <xf numFmtId="0" fontId="45" fillId="6" borderId="1" xfId="0" applyFont="1" applyFill="1" applyBorder="1" applyAlignment="1">
      <alignment horizontal="center" vertical="center"/>
    </xf>
    <xf numFmtId="0" fontId="15" fillId="0" borderId="0" xfId="3" applyBorder="1" applyAlignment="1" applyProtection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1" fillId="7" borderId="1" xfId="10" applyFont="1" applyFill="1" applyBorder="1" applyAlignment="1">
      <alignment horizontal="right" vertical="center" indent="3"/>
    </xf>
    <xf numFmtId="0" fontId="19" fillId="6" borderId="0" xfId="0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20" fillId="0" borderId="13" xfId="0" applyFont="1" applyBorder="1" applyAlignment="1">
      <alignment horizontal="right" vertical="center" wrapText="1" indent="3"/>
    </xf>
    <xf numFmtId="0" fontId="21" fillId="7" borderId="12" xfId="10" applyFont="1" applyFill="1" applyBorder="1" applyAlignment="1">
      <alignment horizontal="right" vertical="center" indent="3"/>
    </xf>
    <xf numFmtId="0" fontId="21" fillId="0" borderId="1" xfId="0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 vertical="center" wrapText="1"/>
    </xf>
    <xf numFmtId="0" fontId="44" fillId="11" borderId="1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9" fillId="11" borderId="18" xfId="0" applyFont="1" applyFill="1" applyBorder="1" applyAlignment="1">
      <alignment horizontal="center" vertical="center"/>
    </xf>
    <xf numFmtId="0" fontId="19" fillId="11" borderId="0" xfId="0" applyFont="1" applyFill="1" applyBorder="1" applyAlignment="1">
      <alignment horizontal="center" vertical="center"/>
    </xf>
    <xf numFmtId="0" fontId="14" fillId="11" borderId="3" xfId="0" applyFont="1" applyFill="1" applyBorder="1" applyAlignment="1">
      <alignment horizontal="center" vertical="center"/>
    </xf>
    <xf numFmtId="0" fontId="14" fillId="11" borderId="4" xfId="0" applyFont="1" applyFill="1" applyBorder="1" applyAlignment="1">
      <alignment horizontal="center" vertical="center"/>
    </xf>
    <xf numFmtId="0" fontId="14" fillId="11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right" vertical="center" wrapText="1" indent="3"/>
    </xf>
    <xf numFmtId="0" fontId="66" fillId="11" borderId="1" xfId="10" applyFont="1" applyFill="1" applyBorder="1" applyAlignment="1">
      <alignment horizontal="right" vertical="center" indent="3"/>
    </xf>
    <xf numFmtId="0" fontId="21" fillId="0" borderId="1" xfId="10" applyFont="1" applyFill="1" applyBorder="1" applyAlignment="1">
      <alignment horizontal="right" vertical="center" indent="3"/>
    </xf>
    <xf numFmtId="0" fontId="2" fillId="2" borderId="1" xfId="0" applyFont="1" applyFill="1" applyBorder="1" applyAlignment="1">
      <alignment horizontal="center"/>
    </xf>
    <xf numFmtId="167" fontId="53" fillId="10" borderId="3" xfId="8" applyNumberFormat="1" applyFont="1" applyFill="1" applyBorder="1" applyAlignment="1">
      <alignment horizontal="center" vertical="center"/>
    </xf>
    <xf numFmtId="167" fontId="53" fillId="10" borderId="5" xfId="8" applyNumberFormat="1" applyFont="1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</cellXfs>
  <cellStyles count="12">
    <cellStyle name="Гиперссылка" xfId="3" builtinId="8"/>
    <cellStyle name="Денежный" xfId="8" builtinId="4"/>
    <cellStyle name="Обычный" xfId="0" builtinId="0"/>
    <cellStyle name="Обычный 2" xfId="10"/>
    <cellStyle name="Обычный 2 3" xfId="5"/>
    <cellStyle name="Обычный 3" xfId="4"/>
    <cellStyle name="Обычный 3 3 2 2" xfId="9"/>
    <cellStyle name="Обычный 4 3 4 2" xfId="6"/>
    <cellStyle name="Обычный 4 3 5" xfId="7"/>
    <cellStyle name="Обычный 7 2 3" xfId="11"/>
    <cellStyle name="Процентный" xfId="1" builtinId="5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10" Type="http://schemas.openxmlformats.org/officeDocument/2006/relationships/image" Target="../media/image22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1</xdr:row>
      <xdr:rowOff>9528</xdr:rowOff>
    </xdr:from>
    <xdr:to>
      <xdr:col>13</xdr:col>
      <xdr:colOff>504825</xdr:colOff>
      <xdr:row>31</xdr:row>
      <xdr:rowOff>119792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14328"/>
          <a:ext cx="8086724" cy="58252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0</xdr:col>
      <xdr:colOff>28575</xdr:colOff>
      <xdr:row>6</xdr:row>
      <xdr:rowOff>38099</xdr:rowOff>
    </xdr:from>
    <xdr:to>
      <xdr:col>6</xdr:col>
      <xdr:colOff>803447</xdr:colOff>
      <xdr:row>6</xdr:row>
      <xdr:rowOff>1819274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295399"/>
          <a:ext cx="6547022" cy="17811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762000</xdr:colOff>
      <xdr:row>4</xdr:row>
      <xdr:rowOff>104775</xdr:rowOff>
    </xdr:from>
    <xdr:to>
      <xdr:col>4</xdr:col>
      <xdr:colOff>704850</xdr:colOff>
      <xdr:row>6</xdr:row>
      <xdr:rowOff>1763175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43050" y="1133475"/>
          <a:ext cx="3238500" cy="1887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2</xdr:col>
      <xdr:colOff>28575</xdr:colOff>
      <xdr:row>5</xdr:row>
      <xdr:rowOff>28575</xdr:rowOff>
    </xdr:from>
    <xdr:to>
      <xdr:col>4</xdr:col>
      <xdr:colOff>85725</xdr:colOff>
      <xdr:row>7</xdr:row>
      <xdr:rowOff>19050</xdr:rowOff>
    </xdr:to>
    <xdr:grpSp>
      <xdr:nvGrpSpPr>
        <xdr:cNvPr id="3" name="Группа 2"/>
        <xdr:cNvGrpSpPr/>
      </xdr:nvGrpSpPr>
      <xdr:grpSpPr>
        <a:xfrm>
          <a:off x="2474595" y="1156335"/>
          <a:ext cx="1794510" cy="1933575"/>
          <a:chOff x="11306175" y="962025"/>
          <a:chExt cx="1752600" cy="1933575"/>
        </a:xfrm>
      </xdr:grpSpPr>
      <xdr:pic>
        <xdr:nvPicPr>
          <xdr:cNvPr id="12" name="Рисунок 1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l="25121" r="61714"/>
          <a:stretch/>
        </xdr:blipFill>
        <xdr:spPr>
          <a:xfrm>
            <a:off x="12087225" y="962025"/>
            <a:ext cx="971550" cy="1933575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1759" r="86754"/>
          <a:stretch/>
        </xdr:blipFill>
        <xdr:spPr>
          <a:xfrm>
            <a:off x="11306175" y="962025"/>
            <a:ext cx="847725" cy="1933575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1</xdr:col>
      <xdr:colOff>1162050</xdr:colOff>
      <xdr:row>5</xdr:row>
      <xdr:rowOff>19050</xdr:rowOff>
    </xdr:from>
    <xdr:to>
      <xdr:col>4</xdr:col>
      <xdr:colOff>628650</xdr:colOff>
      <xdr:row>7</xdr:row>
      <xdr:rowOff>9525</xdr:rowOff>
    </xdr:to>
    <xdr:grpSp>
      <xdr:nvGrpSpPr>
        <xdr:cNvPr id="7" name="Группа 6"/>
        <xdr:cNvGrpSpPr/>
      </xdr:nvGrpSpPr>
      <xdr:grpSpPr>
        <a:xfrm>
          <a:off x="1962150" y="1146810"/>
          <a:ext cx="2849880" cy="1933575"/>
          <a:chOff x="11477625" y="1133475"/>
          <a:chExt cx="2762250" cy="1933575"/>
        </a:xfrm>
      </xdr:grpSpPr>
      <xdr:pic>
        <xdr:nvPicPr>
          <xdr:cNvPr id="4" name="Рисунок 3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l="37124" r="48892"/>
          <a:stretch/>
        </xdr:blipFill>
        <xdr:spPr>
          <a:xfrm>
            <a:off x="12392025" y="1133475"/>
            <a:ext cx="1031962" cy="1933575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61347" r="26280"/>
          <a:stretch/>
        </xdr:blipFill>
        <xdr:spPr>
          <a:xfrm>
            <a:off x="13326797" y="1133475"/>
            <a:ext cx="913078" cy="1933575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13116" r="74493"/>
          <a:stretch/>
        </xdr:blipFill>
        <xdr:spPr>
          <a:xfrm>
            <a:off x="11477625" y="1133475"/>
            <a:ext cx="914400" cy="1933575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1</xdr:col>
      <xdr:colOff>666749</xdr:colOff>
      <xdr:row>5</xdr:row>
      <xdr:rowOff>95249</xdr:rowOff>
    </xdr:from>
    <xdr:to>
      <xdr:col>4</xdr:col>
      <xdr:colOff>209550</xdr:colOff>
      <xdr:row>7</xdr:row>
      <xdr:rowOff>114300</xdr:rowOff>
    </xdr:to>
    <xdr:grpSp>
      <xdr:nvGrpSpPr>
        <xdr:cNvPr id="6" name="Группа 5"/>
        <xdr:cNvGrpSpPr/>
      </xdr:nvGrpSpPr>
      <xdr:grpSpPr>
        <a:xfrm>
          <a:off x="1466849" y="1223009"/>
          <a:ext cx="2926081" cy="1962151"/>
          <a:chOff x="11172824" y="2981325"/>
          <a:chExt cx="2409826" cy="1600200"/>
        </a:xfrm>
      </xdr:grpSpPr>
      <xdr:pic>
        <xdr:nvPicPr>
          <xdr:cNvPr id="7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l="48974" t="599" r="38938" b="-599"/>
          <a:stretch/>
        </xdr:blipFill>
        <xdr:spPr>
          <a:xfrm>
            <a:off x="11172824" y="2990850"/>
            <a:ext cx="809625" cy="1590675"/>
          </a:xfrm>
          <a:prstGeom prst="rect">
            <a:avLst/>
          </a:prstGeom>
        </xdr:spPr>
      </xdr:pic>
      <xdr:pic>
        <xdr:nvPicPr>
          <xdr:cNvPr id="8" name="Рисунок 7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74147" r="1961"/>
          <a:stretch/>
        </xdr:blipFill>
        <xdr:spPr>
          <a:xfrm>
            <a:off x="11982449" y="2981325"/>
            <a:ext cx="1600201" cy="1590675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317500</xdr:colOff>
      <xdr:row>100</xdr:row>
      <xdr:rowOff>0</xdr:rowOff>
    </xdr:from>
    <xdr:to>
      <xdr:col>14</xdr:col>
      <xdr:colOff>423405</xdr:colOff>
      <xdr:row>100</xdr:row>
      <xdr:rowOff>1059</xdr:rowOff>
    </xdr:to>
    <xdr:pic>
      <xdr:nvPicPr>
        <xdr:cNvPr id="16" name="Рисунок 30" descr="уголок.jpg">
          <a:extLst>
            <a:ext uri="{FF2B5EF4-FFF2-40B4-BE49-F238E27FC236}">
              <a16:creationId xmlns="" xmlns:a16="http://schemas.microsoft.com/office/drawing/2014/main" id="{C4A351CA-28D9-45B3-9743-1A1508E3B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0" y="33095141"/>
          <a:ext cx="1371600" cy="1420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215660</xdr:colOff>
      <xdr:row>46</xdr:row>
      <xdr:rowOff>143773</xdr:rowOff>
    </xdr:from>
    <xdr:to>
      <xdr:col>0</xdr:col>
      <xdr:colOff>1527594</xdr:colOff>
      <xdr:row>51</xdr:row>
      <xdr:rowOff>37420</xdr:rowOff>
    </xdr:to>
    <xdr:pic>
      <xdr:nvPicPr>
        <xdr:cNvPr id="3" name="Рисунок 2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5660" y="8302924"/>
          <a:ext cx="1311934" cy="837161"/>
        </a:xfrm>
        <a:prstGeom prst="rect">
          <a:avLst/>
        </a:prstGeom>
      </xdr:spPr>
    </xdr:pic>
    <xdr:clientData/>
  </xdr:twoCellAnchor>
  <xdr:twoCellAnchor editAs="oneCell">
    <xdr:from>
      <xdr:col>2</xdr:col>
      <xdr:colOff>17972</xdr:colOff>
      <xdr:row>46</xdr:row>
      <xdr:rowOff>152759</xdr:rowOff>
    </xdr:from>
    <xdr:to>
      <xdr:col>3</xdr:col>
      <xdr:colOff>456482</xdr:colOff>
      <xdr:row>51</xdr:row>
      <xdr:rowOff>53915</xdr:rowOff>
    </xdr:to>
    <xdr:pic>
      <xdr:nvPicPr>
        <xdr:cNvPr id="4" name="Рисунок 3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82406" y="8311910"/>
          <a:ext cx="1013604" cy="844670"/>
        </a:xfrm>
        <a:prstGeom prst="rect">
          <a:avLst/>
        </a:prstGeom>
      </xdr:spPr>
    </xdr:pic>
    <xdr:clientData/>
  </xdr:twoCellAnchor>
  <xdr:twoCellAnchor editAs="oneCell">
    <xdr:from>
      <xdr:col>4</xdr:col>
      <xdr:colOff>673940</xdr:colOff>
      <xdr:row>46</xdr:row>
      <xdr:rowOff>108343</xdr:rowOff>
    </xdr:from>
    <xdr:to>
      <xdr:col>6</xdr:col>
      <xdr:colOff>98845</xdr:colOff>
      <xdr:row>52</xdr:row>
      <xdr:rowOff>92560</xdr:rowOff>
    </xdr:to>
    <xdr:pic>
      <xdr:nvPicPr>
        <xdr:cNvPr id="5" name="Рисунок 4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2336" y="8267494"/>
          <a:ext cx="1240046" cy="111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2</xdr:col>
      <xdr:colOff>566108</xdr:colOff>
      <xdr:row>74</xdr:row>
      <xdr:rowOff>185839</xdr:rowOff>
    </xdr:to>
    <xdr:pic>
      <xdr:nvPicPr>
        <xdr:cNvPr id="7" name="Рисунок 6" descr="4-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0360684"/>
          <a:ext cx="2947358" cy="3582490"/>
        </a:xfrm>
        <a:prstGeom prst="rect">
          <a:avLst/>
        </a:prstGeom>
      </xdr:spPr>
    </xdr:pic>
    <xdr:clientData/>
  </xdr:twoCellAnchor>
  <xdr:twoCellAnchor>
    <xdr:from>
      <xdr:col>2</xdr:col>
      <xdr:colOff>296533</xdr:colOff>
      <xdr:row>64</xdr:row>
      <xdr:rowOff>89858</xdr:rowOff>
    </xdr:from>
    <xdr:to>
      <xdr:col>2</xdr:col>
      <xdr:colOff>296533</xdr:colOff>
      <xdr:row>64</xdr:row>
      <xdr:rowOff>89858</xdr:rowOff>
    </xdr:to>
    <xdr:cxnSp macro="">
      <xdr:nvCxnSpPr>
        <xdr:cNvPr id="9" name="Прямая со стрелкой 8"/>
        <xdr:cNvCxnSpPr/>
      </xdr:nvCxnSpPr>
      <xdr:spPr>
        <a:xfrm>
          <a:off x="2677783" y="11960165"/>
          <a:ext cx="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206676</xdr:colOff>
      <xdr:row>64</xdr:row>
      <xdr:rowOff>98844</xdr:rowOff>
    </xdr:from>
    <xdr:to>
      <xdr:col>4</xdr:col>
      <xdr:colOff>0</xdr:colOff>
      <xdr:row>65</xdr:row>
      <xdr:rowOff>89859</xdr:rowOff>
    </xdr:to>
    <xdr:cxnSp macro="">
      <xdr:nvCxnSpPr>
        <xdr:cNvPr id="11" name="Прямая со стрелкой 10"/>
        <xdr:cNvCxnSpPr/>
      </xdr:nvCxnSpPr>
      <xdr:spPr>
        <a:xfrm flipH="1" flipV="1">
          <a:off x="2587926" y="11969151"/>
          <a:ext cx="943513" cy="179717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260592</xdr:colOff>
      <xdr:row>65</xdr:row>
      <xdr:rowOff>161746</xdr:rowOff>
    </xdr:from>
    <xdr:to>
      <xdr:col>4</xdr:col>
      <xdr:colOff>0</xdr:colOff>
      <xdr:row>67</xdr:row>
      <xdr:rowOff>170731</xdr:rowOff>
    </xdr:to>
    <xdr:cxnSp macro="">
      <xdr:nvCxnSpPr>
        <xdr:cNvPr id="13" name="Прямая со стрелкой 12"/>
        <xdr:cNvCxnSpPr/>
      </xdr:nvCxnSpPr>
      <xdr:spPr>
        <a:xfrm flipH="1">
          <a:off x="2641842" y="12220755"/>
          <a:ext cx="889597" cy="386391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269575</xdr:colOff>
      <xdr:row>58</xdr:row>
      <xdr:rowOff>35943</xdr:rowOff>
    </xdr:from>
    <xdr:to>
      <xdr:col>5</xdr:col>
      <xdr:colOff>314505</xdr:colOff>
      <xdr:row>65</xdr:row>
      <xdr:rowOff>80873</xdr:rowOff>
    </xdr:to>
    <xdr:cxnSp macro="">
      <xdr:nvCxnSpPr>
        <xdr:cNvPr id="21" name="Прямая со стрелкой 20"/>
        <xdr:cNvCxnSpPr/>
      </xdr:nvCxnSpPr>
      <xdr:spPr>
        <a:xfrm flipH="1" flipV="1">
          <a:off x="2650825" y="10774033"/>
          <a:ext cx="2309364" cy="1365849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323490</xdr:colOff>
      <xdr:row>65</xdr:row>
      <xdr:rowOff>107831</xdr:rowOff>
    </xdr:from>
    <xdr:to>
      <xdr:col>5</xdr:col>
      <xdr:colOff>314505</xdr:colOff>
      <xdr:row>74</xdr:row>
      <xdr:rowOff>80872</xdr:rowOff>
    </xdr:to>
    <xdr:cxnSp macro="">
      <xdr:nvCxnSpPr>
        <xdr:cNvPr id="23" name="Прямая со стрелкой 22"/>
        <xdr:cNvCxnSpPr/>
      </xdr:nvCxnSpPr>
      <xdr:spPr>
        <a:xfrm flipH="1">
          <a:off x="2704740" y="12166840"/>
          <a:ext cx="2255449" cy="1671367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1500637</xdr:colOff>
      <xdr:row>53</xdr:row>
      <xdr:rowOff>179717</xdr:rowOff>
    </xdr:from>
    <xdr:to>
      <xdr:col>1</xdr:col>
      <xdr:colOff>566108</xdr:colOff>
      <xdr:row>57</xdr:row>
      <xdr:rowOff>62901</xdr:rowOff>
    </xdr:to>
    <xdr:cxnSp macro="">
      <xdr:nvCxnSpPr>
        <xdr:cNvPr id="25" name="Прямая со стрелкой 24"/>
        <xdr:cNvCxnSpPr/>
      </xdr:nvCxnSpPr>
      <xdr:spPr>
        <a:xfrm flipH="1">
          <a:off x="1500637" y="9974292"/>
          <a:ext cx="871627" cy="637996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1347877</xdr:colOff>
      <xdr:row>53</xdr:row>
      <xdr:rowOff>179717</xdr:rowOff>
    </xdr:from>
    <xdr:to>
      <xdr:col>2</xdr:col>
      <xdr:colOff>8987</xdr:colOff>
      <xdr:row>73</xdr:row>
      <xdr:rowOff>71887</xdr:rowOff>
    </xdr:to>
    <xdr:cxnSp macro="">
      <xdr:nvCxnSpPr>
        <xdr:cNvPr id="27" name="Прямая со стрелкой 26"/>
        <xdr:cNvCxnSpPr/>
      </xdr:nvCxnSpPr>
      <xdr:spPr>
        <a:xfrm flipH="1">
          <a:off x="1347877" y="9974292"/>
          <a:ext cx="1042360" cy="3666227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206673</xdr:colOff>
      <xdr:row>78</xdr:row>
      <xdr:rowOff>80873</xdr:rowOff>
    </xdr:from>
    <xdr:to>
      <xdr:col>1</xdr:col>
      <xdr:colOff>247062</xdr:colOff>
      <xdr:row>88</xdr:row>
      <xdr:rowOff>17972</xdr:rowOff>
    </xdr:to>
    <xdr:pic>
      <xdr:nvPicPr>
        <xdr:cNvPr id="14" name="Рисунок 13" descr="квадро-1 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6673" y="16129599"/>
          <a:ext cx="1846545" cy="1824128"/>
        </a:xfrm>
        <a:prstGeom prst="rect">
          <a:avLst/>
        </a:prstGeom>
      </xdr:spPr>
    </xdr:pic>
    <xdr:clientData/>
  </xdr:twoCellAnchor>
  <xdr:twoCellAnchor editAs="oneCell">
    <xdr:from>
      <xdr:col>2</xdr:col>
      <xdr:colOff>53916</xdr:colOff>
      <xdr:row>78</xdr:row>
      <xdr:rowOff>52781</xdr:rowOff>
    </xdr:from>
    <xdr:to>
      <xdr:col>4</xdr:col>
      <xdr:colOff>792213</xdr:colOff>
      <xdr:row>88</xdr:row>
      <xdr:rowOff>62901</xdr:rowOff>
    </xdr:to>
    <xdr:pic>
      <xdr:nvPicPr>
        <xdr:cNvPr id="15" name="Рисунок 14" descr="квадро-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35166" y="16101507"/>
          <a:ext cx="1888486" cy="1897149"/>
        </a:xfrm>
        <a:prstGeom prst="rect">
          <a:avLst/>
        </a:prstGeom>
      </xdr:spPr>
    </xdr:pic>
    <xdr:clientData/>
  </xdr:twoCellAnchor>
  <xdr:twoCellAnchor editAs="oneCell">
    <xdr:from>
      <xdr:col>4</xdr:col>
      <xdr:colOff>970472</xdr:colOff>
      <xdr:row>78</xdr:row>
      <xdr:rowOff>89858</xdr:rowOff>
    </xdr:from>
    <xdr:to>
      <xdr:col>6</xdr:col>
      <xdr:colOff>1022192</xdr:colOff>
      <xdr:row>88</xdr:row>
      <xdr:rowOff>78254</xdr:rowOff>
    </xdr:to>
    <xdr:pic>
      <xdr:nvPicPr>
        <xdr:cNvPr id="17" name="Рисунок 16" descr="квадро-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01911" y="16138584"/>
          <a:ext cx="1866861" cy="1875425"/>
        </a:xfrm>
        <a:prstGeom prst="rect">
          <a:avLst/>
        </a:prstGeom>
      </xdr:spPr>
    </xdr:pic>
    <xdr:clientData/>
  </xdr:twoCellAnchor>
  <xdr:twoCellAnchor editAs="oneCell">
    <xdr:from>
      <xdr:col>1</xdr:col>
      <xdr:colOff>567906</xdr:colOff>
      <xdr:row>88</xdr:row>
      <xdr:rowOff>73685</xdr:rowOff>
    </xdr:from>
    <xdr:to>
      <xdr:col>4</xdr:col>
      <xdr:colOff>185108</xdr:colOff>
      <xdr:row>98</xdr:row>
      <xdr:rowOff>132548</xdr:rowOff>
    </xdr:to>
    <xdr:pic>
      <xdr:nvPicPr>
        <xdr:cNvPr id="18" name="Рисунок 17" descr="media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29774" y="17405591"/>
          <a:ext cx="1385617" cy="1834466"/>
        </a:xfrm>
        <a:prstGeom prst="rect">
          <a:avLst/>
        </a:prstGeom>
      </xdr:spPr>
    </xdr:pic>
    <xdr:clientData/>
  </xdr:twoCellAnchor>
  <xdr:twoCellAnchor editAs="oneCell">
    <xdr:from>
      <xdr:col>3</xdr:col>
      <xdr:colOff>458281</xdr:colOff>
      <xdr:row>100</xdr:row>
      <xdr:rowOff>44930</xdr:rowOff>
    </xdr:from>
    <xdr:to>
      <xdr:col>5</xdr:col>
      <xdr:colOff>194445</xdr:colOff>
      <xdr:row>117</xdr:row>
      <xdr:rowOff>17972</xdr:rowOff>
    </xdr:to>
    <xdr:pic>
      <xdr:nvPicPr>
        <xdr:cNvPr id="20" name="Рисунок 19" descr="lingo-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414625" y="20164246"/>
          <a:ext cx="1425504" cy="2884457"/>
        </a:xfrm>
        <a:prstGeom prst="rect">
          <a:avLst/>
        </a:prstGeom>
      </xdr:spPr>
    </xdr:pic>
    <xdr:clientData/>
  </xdr:twoCellAnchor>
  <xdr:twoCellAnchor editAs="oneCell">
    <xdr:from>
      <xdr:col>4</xdr:col>
      <xdr:colOff>647203</xdr:colOff>
      <xdr:row>89</xdr:row>
      <xdr:rowOff>179495</xdr:rowOff>
    </xdr:from>
    <xdr:to>
      <xdr:col>6</xdr:col>
      <xdr:colOff>745604</xdr:colOff>
      <xdr:row>97</xdr:row>
      <xdr:rowOff>26736</xdr:rowOff>
    </xdr:to>
    <xdr:pic>
      <xdr:nvPicPr>
        <xdr:cNvPr id="22" name="Рисунок 21" descr="media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5400000">
          <a:off x="4456981" y="18025614"/>
          <a:ext cx="1356863" cy="191354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20354</xdr:colOff>
      <xdr:row>0</xdr:row>
      <xdr:rowOff>167705</xdr:rowOff>
    </xdr:from>
    <xdr:to>
      <xdr:col>22</xdr:col>
      <xdr:colOff>158100</xdr:colOff>
      <xdr:row>44</xdr:row>
      <xdr:rowOff>158749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-30588"/>
        <a:stretch/>
      </xdr:blipFill>
      <xdr:spPr>
        <a:xfrm>
          <a:off x="5999937" y="167705"/>
          <a:ext cx="10128413" cy="93890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1224426" y="57151"/>
          <a:ext cx="6110149" cy="628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6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19601" y="0"/>
          <a:ext cx="286212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363416</xdr:colOff>
      <xdr:row>4</xdr:row>
      <xdr:rowOff>38833</xdr:rowOff>
    </xdr:from>
    <xdr:to>
      <xdr:col>5</xdr:col>
      <xdr:colOff>432289</xdr:colOff>
      <xdr:row>6</xdr:row>
      <xdr:rowOff>1818469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1" y="1071929"/>
          <a:ext cx="4215911" cy="20140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6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100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457199</xdr:colOff>
      <xdr:row>4</xdr:row>
      <xdr:rowOff>85724</xdr:rowOff>
    </xdr:from>
    <xdr:to>
      <xdr:col>5</xdr:col>
      <xdr:colOff>419099</xdr:colOff>
      <xdr:row>6</xdr:row>
      <xdr:rowOff>1769520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2049" y="1114424"/>
          <a:ext cx="4105275" cy="19123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100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126794</xdr:colOff>
      <xdr:row>7</xdr:row>
      <xdr:rowOff>70263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5050" y="1257300"/>
          <a:ext cx="974519" cy="1899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2</xdr:col>
      <xdr:colOff>142874</xdr:colOff>
      <xdr:row>5</xdr:row>
      <xdr:rowOff>57149</xdr:rowOff>
    </xdr:from>
    <xdr:to>
      <xdr:col>3</xdr:col>
      <xdr:colOff>371474</xdr:colOff>
      <xdr:row>6</xdr:row>
      <xdr:rowOff>1820160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24124" y="1200149"/>
          <a:ext cx="1076325" cy="18773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2</xdr:col>
      <xdr:colOff>762001</xdr:colOff>
      <xdr:row>4</xdr:row>
      <xdr:rowOff>76200</xdr:rowOff>
    </xdr:from>
    <xdr:to>
      <xdr:col>4</xdr:col>
      <xdr:colOff>37368</xdr:colOff>
      <xdr:row>7</xdr:row>
      <xdr:rowOff>38100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1104900"/>
          <a:ext cx="970817" cy="2019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="" xmlns:a16="http://schemas.microsoft.com/office/drawing/2014/main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3</xdr:col>
      <xdr:colOff>1</xdr:colOff>
      <xdr:row>6</xdr:row>
      <xdr:rowOff>25910</xdr:rowOff>
    </xdr:from>
    <xdr:to>
      <xdr:col>4</xdr:col>
      <xdr:colOff>19050</xdr:colOff>
      <xdr:row>6</xdr:row>
      <xdr:rowOff>1828799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1283210"/>
          <a:ext cx="866774" cy="18028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view="pageBreakPreview" zoomScaleNormal="100" zoomScaleSheetLayoutView="100" workbookViewId="0">
      <selection sqref="A1:G1"/>
    </sheetView>
  </sheetViews>
  <sheetFormatPr defaultRowHeight="14.4" x14ac:dyDescent="0.3"/>
  <sheetData>
    <row r="1" spans="1:8" s="58" customFormat="1" ht="24" customHeight="1" x14ac:dyDescent="0.3">
      <c r="A1" s="368" t="s">
        <v>71</v>
      </c>
      <c r="B1" s="368"/>
      <c r="C1" s="368"/>
      <c r="D1" s="368"/>
      <c r="E1" s="368"/>
      <c r="F1" s="368"/>
      <c r="G1" s="368"/>
      <c r="H1" s="82"/>
    </row>
  </sheetData>
  <mergeCells count="1">
    <mergeCell ref="A1:G1"/>
  </mergeCells>
  <hyperlinks>
    <hyperlink ref="A1:G1" location="СОДЕРЖАНИЕ!A1" display="вернуться в содержание"/>
  </hyperlinks>
  <pageMargins left="0.25" right="0.25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2"/>
  <sheetViews>
    <sheetView view="pageBreakPreview" topLeftCell="A70" zoomScaleNormal="100" zoomScaleSheetLayoutView="100" workbookViewId="0">
      <selection activeCell="E80" sqref="E80:E83"/>
    </sheetView>
  </sheetViews>
  <sheetFormatPr defaultRowHeight="14.4" outlineLevelRow="1" outlineLevelCol="1" x14ac:dyDescent="0.3"/>
  <cols>
    <col min="1" max="1" width="11.6640625" customWidth="1"/>
    <col min="2" max="2" width="24" bestFit="1" customWidth="1"/>
    <col min="3" max="7" width="12.6640625" customWidth="1"/>
    <col min="8" max="8" width="9.109375" hidden="1" customWidth="1" outlineLevel="1"/>
    <col min="9" max="9" width="11.44140625" hidden="1" customWidth="1" outlineLevel="1"/>
    <col min="10" max="10" width="0" hidden="1" customWidth="1" collapsed="1"/>
    <col min="11" max="11" width="0" hidden="1" customWidth="1"/>
    <col min="12" max="12" width="9.5546875" bestFit="1" customWidth="1"/>
  </cols>
  <sheetData>
    <row r="1" spans="1:11" s="58" customFormat="1" ht="18.75" customHeight="1" x14ac:dyDescent="0.3">
      <c r="A1" s="91"/>
      <c r="B1" s="57"/>
      <c r="D1" s="41"/>
      <c r="E1" s="41"/>
      <c r="F1" s="41"/>
      <c r="G1" s="214" t="str">
        <f>СОДЕРЖАНИЕ!I2</f>
        <v>Прайс-лист на изделия из ПВХ от 02.12.2024</v>
      </c>
    </row>
    <row r="2" spans="1:11" s="58" customFormat="1" ht="20.25" customHeight="1" x14ac:dyDescent="0.3">
      <c r="A2" s="91"/>
      <c r="B2" s="57"/>
      <c r="C2" s="57"/>
      <c r="D2" s="57"/>
      <c r="E2" s="57"/>
      <c r="F2"/>
      <c r="G2"/>
    </row>
    <row r="3" spans="1:11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1" ht="17.399999999999999" x14ac:dyDescent="0.3">
      <c r="A4" s="397" t="s">
        <v>57</v>
      </c>
      <c r="B4" s="397"/>
      <c r="C4" s="397"/>
      <c r="D4" s="397"/>
      <c r="E4" s="397"/>
      <c r="F4" s="397"/>
      <c r="G4" s="397"/>
    </row>
    <row r="5" spans="1:11" ht="9" customHeight="1" x14ac:dyDescent="0.3">
      <c r="A5" s="33"/>
      <c r="B5" s="33"/>
      <c r="C5" s="33"/>
      <c r="D5" s="33"/>
      <c r="E5" s="33"/>
      <c r="F5" s="33"/>
      <c r="G5" s="33"/>
    </row>
    <row r="6" spans="1:11" ht="9" customHeight="1" x14ac:dyDescent="0.3">
      <c r="A6" s="33"/>
      <c r="B6" s="33"/>
      <c r="C6" s="33"/>
      <c r="D6" s="33"/>
      <c r="E6" s="33"/>
      <c r="F6" s="33"/>
      <c r="G6" s="33"/>
    </row>
    <row r="7" spans="1:11" ht="144" customHeight="1" x14ac:dyDescent="0.3">
      <c r="C7" s="1"/>
      <c r="D7" s="1"/>
      <c r="E7" s="1"/>
      <c r="F7" s="1"/>
      <c r="G7" s="1"/>
    </row>
    <row r="8" spans="1:11" ht="20.25" customHeight="1" x14ac:dyDescent="0.3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 x14ac:dyDescent="0.3">
      <c r="A9" s="36"/>
      <c r="B9" s="36"/>
      <c r="C9" s="36"/>
      <c r="D9" s="36"/>
      <c r="E9" s="36"/>
      <c r="F9" s="36"/>
      <c r="G9" s="36"/>
    </row>
    <row r="10" spans="1:11" ht="15.6" customHeight="1" x14ac:dyDescent="0.3">
      <c r="A10" s="408" t="s">
        <v>136</v>
      </c>
      <c r="B10" s="409"/>
      <c r="C10" s="409"/>
      <c r="D10" s="409"/>
      <c r="E10" s="409"/>
      <c r="F10" s="409"/>
      <c r="G10" s="410"/>
    </row>
    <row r="11" spans="1:11" ht="15.6" customHeight="1" x14ac:dyDescent="0.3">
      <c r="A11" s="403" t="s">
        <v>83</v>
      </c>
      <c r="B11" s="403"/>
      <c r="C11" s="405" t="s">
        <v>68</v>
      </c>
      <c r="D11" s="406"/>
      <c r="E11" s="406"/>
      <c r="F11" s="406"/>
      <c r="G11" s="126"/>
    </row>
    <row r="12" spans="1:11" x14ac:dyDescent="0.3">
      <c r="A12" s="403"/>
      <c r="B12" s="403"/>
      <c r="C12" s="290" t="s">
        <v>65</v>
      </c>
      <c r="D12" s="290" t="s">
        <v>66</v>
      </c>
      <c r="E12" s="290" t="s">
        <v>69</v>
      </c>
      <c r="F12" s="290" t="s">
        <v>87</v>
      </c>
      <c r="G12" s="290" t="s">
        <v>88</v>
      </c>
      <c r="H12" s="287" t="s">
        <v>140</v>
      </c>
      <c r="I12" s="287" t="s">
        <v>141</v>
      </c>
    </row>
    <row r="13" spans="1:11" s="49" customFormat="1" ht="27" customHeight="1" x14ac:dyDescent="0.3">
      <c r="A13" s="396" t="s">
        <v>378</v>
      </c>
      <c r="B13" s="396"/>
      <c r="C13" s="404" t="s">
        <v>67</v>
      </c>
      <c r="D13" s="50">
        <v>2000</v>
      </c>
      <c r="E13" s="50" t="s">
        <v>70</v>
      </c>
      <c r="F13" s="48">
        <f>'Porte52-00'!F13+декоры!E36+база!J1</f>
        <v>34250</v>
      </c>
      <c r="G13" s="48">
        <f>F13*(1-$G$8)</f>
        <v>27400</v>
      </c>
      <c r="H13" s="48">
        <f>F13*0.61</f>
        <v>20892.5</v>
      </c>
      <c r="I13" s="48">
        <f>H13*(1-$I$8)</f>
        <v>18803.25</v>
      </c>
      <c r="J13" s="49">
        <v>30950</v>
      </c>
      <c r="K13" s="310">
        <f>F13/J13-1</f>
        <v>0.10662358642972536</v>
      </c>
    </row>
    <row r="14" spans="1:11" ht="25.5" customHeight="1" outlineLevel="1" x14ac:dyDescent="0.3">
      <c r="A14" s="396"/>
      <c r="B14" s="396"/>
      <c r="C14" s="404"/>
      <c r="D14" s="328">
        <v>2100</v>
      </c>
      <c r="E14" s="47">
        <v>0.1</v>
      </c>
      <c r="F14" s="46">
        <f>CEILING(F13*(1+E14), 50)</f>
        <v>37700</v>
      </c>
      <c r="G14" s="46">
        <f t="shared" ref="G14:G21" si="0">F14*(1-$G$8)</f>
        <v>30160</v>
      </c>
      <c r="H14" s="48">
        <f t="shared" ref="H14:H21" si="1">F14*0.61</f>
        <v>22997</v>
      </c>
      <c r="I14" s="46">
        <f t="shared" ref="I14:I21" si="2">H14*(1-$I$8)</f>
        <v>20697.3</v>
      </c>
      <c r="J14">
        <v>34050</v>
      </c>
      <c r="K14" s="310">
        <f t="shared" ref="K14:K21" si="3">F14/J14-1</f>
        <v>0.10719530102790009</v>
      </c>
    </row>
    <row r="15" spans="1:11" ht="25.5" customHeight="1" outlineLevel="1" x14ac:dyDescent="0.3">
      <c r="A15" s="396"/>
      <c r="B15" s="396"/>
      <c r="C15" s="404"/>
      <c r="D15" s="328">
        <v>2200</v>
      </c>
      <c r="E15" s="47">
        <v>0.2</v>
      </c>
      <c r="F15" s="46">
        <f>CEILING(F13*(1+E15), 50)</f>
        <v>41100</v>
      </c>
      <c r="G15" s="46">
        <f t="shared" si="0"/>
        <v>32880</v>
      </c>
      <c r="H15" s="48">
        <f t="shared" si="1"/>
        <v>25071</v>
      </c>
      <c r="I15" s="46">
        <f t="shared" si="2"/>
        <v>22563.9</v>
      </c>
      <c r="J15">
        <v>37150</v>
      </c>
      <c r="K15" s="310">
        <f t="shared" si="3"/>
        <v>0.10632570659488549</v>
      </c>
    </row>
    <row r="16" spans="1:11" ht="25.5" customHeight="1" outlineLevel="1" x14ac:dyDescent="0.3">
      <c r="A16" s="396"/>
      <c r="B16" s="396"/>
      <c r="C16" s="404"/>
      <c r="D16" s="328">
        <v>2300</v>
      </c>
      <c r="E16" s="47">
        <v>0.3</v>
      </c>
      <c r="F16" s="46">
        <f>CEILING(F13*(1+E16), 50)</f>
        <v>44550</v>
      </c>
      <c r="G16" s="46">
        <f t="shared" si="0"/>
        <v>35640</v>
      </c>
      <c r="H16" s="48">
        <f t="shared" si="1"/>
        <v>27175.5</v>
      </c>
      <c r="I16" s="46">
        <f t="shared" si="2"/>
        <v>24457.95</v>
      </c>
      <c r="J16">
        <v>40250</v>
      </c>
      <c r="K16" s="310">
        <f t="shared" si="3"/>
        <v>0.10683229813664585</v>
      </c>
    </row>
    <row r="17" spans="1:11" ht="25.5" customHeight="1" outlineLevel="1" x14ac:dyDescent="0.3">
      <c r="A17" s="396"/>
      <c r="B17" s="396"/>
      <c r="C17" s="404"/>
      <c r="D17" s="328">
        <v>2400</v>
      </c>
      <c r="E17" s="47">
        <v>0.4</v>
      </c>
      <c r="F17" s="46">
        <f>CEILING(F13*(1+E17), 50)</f>
        <v>47950</v>
      </c>
      <c r="G17" s="46">
        <f t="shared" ref="G17" si="4">F17*(1-$G$8)</f>
        <v>38360</v>
      </c>
      <c r="H17" s="48"/>
      <c r="I17" s="46"/>
      <c r="K17" s="310"/>
    </row>
    <row r="18" spans="1:11" s="49" customFormat="1" ht="27" customHeight="1" x14ac:dyDescent="0.3">
      <c r="A18" s="396"/>
      <c r="B18" s="396"/>
      <c r="C18" s="404">
        <v>900</v>
      </c>
      <c r="D18" s="50">
        <v>2000</v>
      </c>
      <c r="E18" s="50" t="s">
        <v>70</v>
      </c>
      <c r="F18" s="48">
        <f>CEILING(F13*(1+10%), 50)</f>
        <v>37700</v>
      </c>
      <c r="G18" s="48">
        <f t="shared" si="0"/>
        <v>30160</v>
      </c>
      <c r="H18" s="48">
        <f t="shared" si="1"/>
        <v>22997</v>
      </c>
      <c r="I18" s="48">
        <f t="shared" si="2"/>
        <v>20697.3</v>
      </c>
      <c r="J18" s="49">
        <v>34050</v>
      </c>
      <c r="K18" s="310">
        <f t="shared" si="3"/>
        <v>0.10719530102790009</v>
      </c>
    </row>
    <row r="19" spans="1:11" ht="25.5" customHeight="1" outlineLevel="1" x14ac:dyDescent="0.3">
      <c r="A19" s="396"/>
      <c r="B19" s="396"/>
      <c r="C19" s="404"/>
      <c r="D19" s="328">
        <v>2100</v>
      </c>
      <c r="E19" s="47">
        <v>0.1</v>
      </c>
      <c r="F19" s="46">
        <f>CEILING(F18*(1+E19), 50)</f>
        <v>41500</v>
      </c>
      <c r="G19" s="46">
        <f t="shared" si="0"/>
        <v>33200</v>
      </c>
      <c r="H19" s="48">
        <f t="shared" si="1"/>
        <v>25315</v>
      </c>
      <c r="I19" s="46">
        <f t="shared" si="2"/>
        <v>22783.5</v>
      </c>
      <c r="J19">
        <v>37500</v>
      </c>
      <c r="K19" s="310">
        <f t="shared" si="3"/>
        <v>0.10666666666666669</v>
      </c>
    </row>
    <row r="20" spans="1:11" ht="25.5" customHeight="1" outlineLevel="1" x14ac:dyDescent="0.3">
      <c r="A20" s="396"/>
      <c r="B20" s="396"/>
      <c r="C20" s="404"/>
      <c r="D20" s="328">
        <v>2200</v>
      </c>
      <c r="E20" s="47">
        <v>0.2</v>
      </c>
      <c r="F20" s="46">
        <f>CEILING(F18*(1+E20), 50)</f>
        <v>45250</v>
      </c>
      <c r="G20" s="46">
        <f t="shared" si="0"/>
        <v>36200</v>
      </c>
      <c r="H20" s="48">
        <f t="shared" si="1"/>
        <v>27602.5</v>
      </c>
      <c r="I20" s="46">
        <f t="shared" si="2"/>
        <v>24842.25</v>
      </c>
      <c r="J20">
        <v>40900</v>
      </c>
      <c r="K20" s="310">
        <f t="shared" si="3"/>
        <v>0.10635696821515883</v>
      </c>
    </row>
    <row r="21" spans="1:11" ht="25.5" customHeight="1" outlineLevel="1" x14ac:dyDescent="0.3">
      <c r="A21" s="396"/>
      <c r="B21" s="396"/>
      <c r="C21" s="404"/>
      <c r="D21" s="328">
        <v>2300</v>
      </c>
      <c r="E21" s="47">
        <v>0.3</v>
      </c>
      <c r="F21" s="46">
        <f>CEILING(F18*(1+E21), 50)</f>
        <v>49050</v>
      </c>
      <c r="G21" s="46">
        <f t="shared" si="0"/>
        <v>39240</v>
      </c>
      <c r="H21" s="48">
        <f t="shared" si="1"/>
        <v>29920.5</v>
      </c>
      <c r="I21" s="46">
        <f t="shared" si="2"/>
        <v>26928.45</v>
      </c>
      <c r="J21">
        <v>44300</v>
      </c>
      <c r="K21" s="310">
        <f t="shared" si="3"/>
        <v>0.10722347629796847</v>
      </c>
    </row>
    <row r="22" spans="1:11" ht="25.5" customHeight="1" outlineLevel="1" x14ac:dyDescent="0.3">
      <c r="A22" s="396"/>
      <c r="B22" s="396"/>
      <c r="C22" s="404"/>
      <c r="D22" s="328">
        <v>2400</v>
      </c>
      <c r="E22" s="47">
        <v>0.4</v>
      </c>
      <c r="F22" s="46">
        <f>CEILING(F18*(1+E22), 50)</f>
        <v>52800</v>
      </c>
      <c r="G22" s="46">
        <f>F22*(1-$G$8)</f>
        <v>42240</v>
      </c>
      <c r="H22" s="73"/>
      <c r="I22" s="74"/>
      <c r="K22" s="310"/>
    </row>
    <row r="23" spans="1:11" ht="15.6" customHeight="1" x14ac:dyDescent="0.3">
      <c r="A23" s="36"/>
      <c r="B23" s="36"/>
      <c r="C23" s="36"/>
      <c r="D23" s="36"/>
      <c r="E23" s="36"/>
      <c r="F23" s="36"/>
      <c r="G23" s="36"/>
    </row>
    <row r="24" spans="1:11" ht="15.6" customHeight="1" x14ac:dyDescent="0.3">
      <c r="A24" s="158" t="s">
        <v>231</v>
      </c>
      <c r="B24" s="36"/>
      <c r="C24" s="36"/>
      <c r="D24" s="36"/>
      <c r="E24" s="36"/>
      <c r="F24" s="36"/>
      <c r="G24" s="36"/>
    </row>
    <row r="25" spans="1:11" ht="15.6" customHeight="1" x14ac:dyDescent="0.3">
      <c r="A25" s="109" t="s">
        <v>377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 x14ac:dyDescent="0.3">
      <c r="A26" s="408" t="s">
        <v>375</v>
      </c>
      <c r="B26" s="409"/>
      <c r="C26" s="409"/>
      <c r="D26" s="409"/>
      <c r="E26" s="409">
        <v>1.1000000000000001</v>
      </c>
      <c r="F26" s="409">
        <v>1.2</v>
      </c>
      <c r="G26" s="410">
        <v>1.45</v>
      </c>
    </row>
    <row r="27" spans="1:11" ht="15.6" customHeight="1" x14ac:dyDescent="0.3">
      <c r="A27" s="436" t="s">
        <v>175</v>
      </c>
      <c r="B27" s="436"/>
      <c r="C27" s="120"/>
      <c r="D27" s="437" t="s">
        <v>144</v>
      </c>
      <c r="E27" s="437"/>
      <c r="F27" s="437"/>
      <c r="G27" s="437"/>
      <c r="H27" s="107"/>
      <c r="I27" s="107"/>
    </row>
    <row r="28" spans="1:11" ht="41.25" customHeight="1" x14ac:dyDescent="0.3">
      <c r="A28" s="436"/>
      <c r="B28" s="436"/>
      <c r="C28" s="290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 x14ac:dyDescent="0.3">
      <c r="A29" s="438" t="s">
        <v>162</v>
      </c>
      <c r="B29" s="438"/>
      <c r="C29" s="50">
        <v>2000</v>
      </c>
      <c r="D29" s="285" t="s">
        <v>368</v>
      </c>
      <c r="E29" s="46">
        <f>декоры!E26-декоры!$D$26</f>
        <v>450</v>
      </c>
      <c r="F29" s="46">
        <f>декоры!F26-декоры!$D$26</f>
        <v>900</v>
      </c>
      <c r="G29" s="46">
        <f>декоры!G26-декоры!$D$26</f>
        <v>2030</v>
      </c>
      <c r="H29" s="107"/>
      <c r="I29" s="107"/>
    </row>
    <row r="30" spans="1:11" ht="15.6" customHeight="1" outlineLevel="1" x14ac:dyDescent="0.3">
      <c r="A30" s="438"/>
      <c r="B30" s="438"/>
      <c r="C30" s="328">
        <v>2100</v>
      </c>
      <c r="D30" s="285" t="s">
        <v>368</v>
      </c>
      <c r="E30" s="46">
        <f>декоры!E27-декоры!$D$26</f>
        <v>945</v>
      </c>
      <c r="F30" s="46">
        <f>декоры!F27-декоры!$D$26</f>
        <v>1440.0000000000009</v>
      </c>
      <c r="G30" s="46">
        <f>декоры!G27-декоры!$D$26</f>
        <v>2683.0000000000009</v>
      </c>
    </row>
    <row r="31" spans="1:11" ht="15.6" customHeight="1" outlineLevel="1" x14ac:dyDescent="0.3">
      <c r="A31" s="438"/>
      <c r="B31" s="438"/>
      <c r="C31" s="328">
        <v>2200</v>
      </c>
      <c r="D31" s="285" t="s">
        <v>368</v>
      </c>
      <c r="E31" s="46">
        <f>декоры!E28-декоры!$D$26</f>
        <v>1440</v>
      </c>
      <c r="F31" s="46">
        <f>декоры!F28-декоры!$D$26</f>
        <v>1980</v>
      </c>
      <c r="G31" s="46">
        <f>декоры!G28-декоры!$D$26</f>
        <v>3336</v>
      </c>
    </row>
    <row r="32" spans="1:11" ht="15.6" customHeight="1" outlineLevel="1" x14ac:dyDescent="0.3">
      <c r="A32" s="438"/>
      <c r="B32" s="438"/>
      <c r="C32" s="328">
        <v>2300</v>
      </c>
      <c r="D32" s="285" t="s">
        <v>368</v>
      </c>
      <c r="E32" s="46">
        <f>декоры!E29-декоры!$D$26</f>
        <v>1935</v>
      </c>
      <c r="F32" s="46">
        <f>декоры!F29-декоры!$D$26</f>
        <v>2520</v>
      </c>
      <c r="G32" s="46">
        <f>декоры!G29-декоры!$D$26</f>
        <v>3989</v>
      </c>
    </row>
    <row r="33" spans="1:9" ht="15.6" customHeight="1" outlineLevel="1" x14ac:dyDescent="0.3">
      <c r="A33" s="438"/>
      <c r="B33" s="438"/>
      <c r="C33" s="328">
        <v>2400</v>
      </c>
      <c r="D33" s="285" t="s">
        <v>368</v>
      </c>
      <c r="E33" s="46">
        <f>декоры!E30-декоры!$D$26</f>
        <v>2430</v>
      </c>
      <c r="F33" s="46">
        <f>декоры!F30-декоры!$D$26</f>
        <v>3059.9999999999991</v>
      </c>
      <c r="G33" s="46">
        <f>декоры!G30-декоры!$D$26</f>
        <v>4642</v>
      </c>
    </row>
    <row r="34" spans="1:9" ht="15.6" customHeight="1" x14ac:dyDescent="0.3">
      <c r="A34" s="63"/>
      <c r="B34" s="36"/>
      <c r="C34" s="36"/>
      <c r="D34" s="36"/>
      <c r="E34" s="36"/>
      <c r="F34" s="36"/>
      <c r="G34" s="36"/>
    </row>
    <row r="35" spans="1:9" ht="15.6" customHeight="1" x14ac:dyDescent="0.3">
      <c r="A35" s="408" t="s">
        <v>152</v>
      </c>
      <c r="B35" s="409"/>
      <c r="C35" s="409"/>
      <c r="D35" s="409"/>
      <c r="E35" s="409">
        <v>1.1000000000000001</v>
      </c>
      <c r="F35" s="409">
        <v>1.2</v>
      </c>
      <c r="G35" s="410">
        <v>1.45</v>
      </c>
    </row>
    <row r="36" spans="1:9" ht="15.6" customHeight="1" x14ac:dyDescent="0.3">
      <c r="A36" s="436" t="s">
        <v>83</v>
      </c>
      <c r="B36" s="436"/>
      <c r="C36" s="456" t="s">
        <v>153</v>
      </c>
      <c r="D36" s="456"/>
      <c r="E36" s="456"/>
      <c r="F36" s="456"/>
      <c r="G36" s="456"/>
      <c r="H36" s="107"/>
      <c r="I36" s="107"/>
    </row>
    <row r="37" spans="1:9" ht="21.75" customHeight="1" x14ac:dyDescent="0.3">
      <c r="A37" s="436"/>
      <c r="B37" s="436"/>
      <c r="C37" s="326" t="s">
        <v>65</v>
      </c>
      <c r="D37" s="326" t="s">
        <v>66</v>
      </c>
      <c r="E37" s="326" t="s">
        <v>155</v>
      </c>
      <c r="F37" s="326" t="s">
        <v>156</v>
      </c>
      <c r="G37" s="326" t="s">
        <v>157</v>
      </c>
      <c r="H37" s="107"/>
      <c r="I37" s="107"/>
    </row>
    <row r="38" spans="1:9" ht="15.6" customHeight="1" x14ac:dyDescent="0.3">
      <c r="A38" s="396" t="s">
        <v>378</v>
      </c>
      <c r="B38" s="396"/>
      <c r="C38" s="404" t="s">
        <v>67</v>
      </c>
      <c r="D38" s="50">
        <v>2000</v>
      </c>
      <c r="E38" s="285" t="s">
        <v>368</v>
      </c>
      <c r="F38" s="46">
        <f>декоры!F36-декоры!E36</f>
        <v>4100</v>
      </c>
      <c r="G38" s="46">
        <f>декоры!G36-декоры!E36</f>
        <v>4100</v>
      </c>
      <c r="H38" s="107"/>
      <c r="I38" s="107"/>
    </row>
    <row r="39" spans="1:9" ht="15.6" customHeight="1" outlineLevel="1" x14ac:dyDescent="0.3">
      <c r="A39" s="396"/>
      <c r="B39" s="396"/>
      <c r="C39" s="404"/>
      <c r="D39" s="328">
        <v>2100</v>
      </c>
      <c r="E39" s="285" t="s">
        <v>368</v>
      </c>
      <c r="F39" s="46">
        <f>декоры!F37-декоры!E37</f>
        <v>4510.0000000000018</v>
      </c>
      <c r="G39" s="46">
        <f>декоры!G37-декоры!E37</f>
        <v>4510.0000000000018</v>
      </c>
      <c r="H39" s="107"/>
      <c r="I39" s="107"/>
    </row>
    <row r="40" spans="1:9" ht="15.6" customHeight="1" outlineLevel="1" x14ac:dyDescent="0.3">
      <c r="A40" s="396"/>
      <c r="B40" s="396"/>
      <c r="C40" s="404"/>
      <c r="D40" s="328">
        <v>2200</v>
      </c>
      <c r="E40" s="285" t="s">
        <v>368</v>
      </c>
      <c r="F40" s="46">
        <f>декоры!F38-декоры!E38</f>
        <v>4920</v>
      </c>
      <c r="G40" s="46">
        <f>декоры!G38-декоры!E38</f>
        <v>4920</v>
      </c>
      <c r="H40" s="107"/>
      <c r="I40" s="107"/>
    </row>
    <row r="41" spans="1:9" ht="15.6" customHeight="1" outlineLevel="1" x14ac:dyDescent="0.3">
      <c r="A41" s="396"/>
      <c r="B41" s="396"/>
      <c r="C41" s="404"/>
      <c r="D41" s="328">
        <v>2300</v>
      </c>
      <c r="E41" s="285" t="s">
        <v>368</v>
      </c>
      <c r="F41" s="46">
        <f>декоры!F39-декоры!E39</f>
        <v>5330</v>
      </c>
      <c r="G41" s="46">
        <f>декоры!G39-декоры!E39</f>
        <v>5330</v>
      </c>
      <c r="H41" s="107"/>
      <c r="I41" s="107"/>
    </row>
    <row r="42" spans="1:9" ht="15.6" customHeight="1" outlineLevel="1" x14ac:dyDescent="0.3">
      <c r="A42" s="396"/>
      <c r="B42" s="396"/>
      <c r="C42" s="404"/>
      <c r="D42" s="328">
        <v>2400</v>
      </c>
      <c r="E42" s="285" t="s">
        <v>368</v>
      </c>
      <c r="F42" s="46">
        <f>декоры!F40-декоры!E40</f>
        <v>5740</v>
      </c>
      <c r="G42" s="46">
        <f>декоры!G40-декоры!E40</f>
        <v>5740</v>
      </c>
      <c r="H42" s="107"/>
      <c r="I42" s="107"/>
    </row>
    <row r="43" spans="1:9" ht="15.6" customHeight="1" x14ac:dyDescent="0.3">
      <c r="A43" s="396"/>
      <c r="B43" s="396"/>
      <c r="C43" s="404">
        <v>900</v>
      </c>
      <c r="D43" s="50">
        <v>2000</v>
      </c>
      <c r="E43" s="285" t="s">
        <v>368</v>
      </c>
      <c r="F43" s="46">
        <f>декоры!F41-декоры!E41</f>
        <v>4510.0000000000018</v>
      </c>
      <c r="G43" s="46">
        <f>декоры!G41-декоры!E41</f>
        <v>4510.0000000000018</v>
      </c>
      <c r="H43" s="107"/>
      <c r="I43" s="107"/>
    </row>
    <row r="44" spans="1:9" ht="15.6" customHeight="1" outlineLevel="1" x14ac:dyDescent="0.3">
      <c r="A44" s="396"/>
      <c r="B44" s="396"/>
      <c r="C44" s="404"/>
      <c r="D44" s="328">
        <v>2100</v>
      </c>
      <c r="E44" s="285" t="s">
        <v>368</v>
      </c>
      <c r="F44" s="46">
        <f>декоры!F42-декоры!E42</f>
        <v>4961.0000000000018</v>
      </c>
      <c r="G44" s="46">
        <f>декоры!G42-декоры!E42</f>
        <v>4961.0000000000018</v>
      </c>
      <c r="H44" s="107"/>
      <c r="I44" s="107"/>
    </row>
    <row r="45" spans="1:9" ht="15.6" customHeight="1" outlineLevel="1" x14ac:dyDescent="0.3">
      <c r="A45" s="396"/>
      <c r="B45" s="396"/>
      <c r="C45" s="404"/>
      <c r="D45" s="328">
        <v>2200</v>
      </c>
      <c r="E45" s="285" t="s">
        <v>368</v>
      </c>
      <c r="F45" s="46">
        <f>декоры!F43-декоры!E43</f>
        <v>5411.9999999999982</v>
      </c>
      <c r="G45" s="46">
        <f>декоры!G43-декоры!E43</f>
        <v>5411.9999999999982</v>
      </c>
      <c r="H45" s="107"/>
      <c r="I45" s="107"/>
    </row>
    <row r="46" spans="1:9" ht="15.6" customHeight="1" outlineLevel="1" x14ac:dyDescent="0.3">
      <c r="A46" s="396"/>
      <c r="B46" s="396"/>
      <c r="C46" s="404"/>
      <c r="D46" s="328">
        <v>2300</v>
      </c>
      <c r="E46" s="285" t="s">
        <v>368</v>
      </c>
      <c r="F46" s="46">
        <f>декоры!F44-декоры!E44</f>
        <v>5862.9999999999982</v>
      </c>
      <c r="G46" s="46">
        <f>декоры!G44-декоры!E44</f>
        <v>5862.9999999999982</v>
      </c>
      <c r="H46" s="107"/>
      <c r="I46" s="107"/>
    </row>
    <row r="47" spans="1:9" ht="15.6" customHeight="1" outlineLevel="1" x14ac:dyDescent="0.3">
      <c r="A47" s="396"/>
      <c r="B47" s="396"/>
      <c r="C47" s="404"/>
      <c r="D47" s="328">
        <v>2400</v>
      </c>
      <c r="E47" s="285" t="s">
        <v>368</v>
      </c>
      <c r="F47" s="46">
        <f>декоры!F45-декоры!E45</f>
        <v>6313.9999999999982</v>
      </c>
      <c r="G47" s="46">
        <f>декоры!G45-декоры!E45</f>
        <v>6313.9999999999982</v>
      </c>
      <c r="H47" s="107"/>
      <c r="I47" s="107"/>
    </row>
    <row r="48" spans="1:9" ht="15.6" customHeight="1" x14ac:dyDescent="0.3">
      <c r="A48" s="291"/>
      <c r="B48" s="292"/>
      <c r="C48" s="439" t="s">
        <v>159</v>
      </c>
      <c r="D48" s="440"/>
      <c r="E48" s="440"/>
      <c r="F48" s="440"/>
      <c r="G48" s="441"/>
      <c r="H48" s="107"/>
      <c r="I48" s="107"/>
    </row>
    <row r="49" spans="1:12" ht="15.6" customHeight="1" x14ac:dyDescent="0.3">
      <c r="A49" s="396" t="s">
        <v>378</v>
      </c>
      <c r="B49" s="396"/>
      <c r="C49" s="404" t="s">
        <v>67</v>
      </c>
      <c r="D49" s="50">
        <v>2000</v>
      </c>
      <c r="E49" s="46">
        <f>декоры!E47-декоры!E36</f>
        <v>5700</v>
      </c>
      <c r="F49" s="46">
        <f>декоры!F47-декоры!E36</f>
        <v>9900</v>
      </c>
      <c r="G49" s="46">
        <f>декоры!G47-декоры!E36</f>
        <v>9900</v>
      </c>
      <c r="H49" s="107"/>
      <c r="I49" s="107"/>
      <c r="J49" s="127"/>
      <c r="K49" s="127"/>
      <c r="L49" s="127"/>
    </row>
    <row r="50" spans="1:12" ht="15.6" customHeight="1" outlineLevel="1" x14ac:dyDescent="0.3">
      <c r="A50" s="396"/>
      <c r="B50" s="396"/>
      <c r="C50" s="404"/>
      <c r="D50" s="328">
        <v>2100</v>
      </c>
      <c r="E50" s="46">
        <f>декоры!E48-декоры!E37</f>
        <v>6270</v>
      </c>
      <c r="F50" s="46">
        <f>декоры!F48-декоры!E37</f>
        <v>10890</v>
      </c>
      <c r="G50" s="46">
        <f>декоры!G48-декоры!E37</f>
        <v>10890</v>
      </c>
      <c r="H50" s="107"/>
      <c r="I50" s="107"/>
    </row>
    <row r="51" spans="1:12" ht="15.6" customHeight="1" outlineLevel="1" x14ac:dyDescent="0.3">
      <c r="A51" s="396"/>
      <c r="B51" s="396"/>
      <c r="C51" s="404"/>
      <c r="D51" s="328">
        <v>2200</v>
      </c>
      <c r="E51" s="46">
        <f>декоры!E49-декоры!E38</f>
        <v>6840</v>
      </c>
      <c r="F51" s="46">
        <f>декоры!F49-декоры!E38</f>
        <v>11880</v>
      </c>
      <c r="G51" s="46">
        <f>декоры!G49-декоры!E38</f>
        <v>11880</v>
      </c>
      <c r="H51" s="107"/>
      <c r="I51" s="107"/>
    </row>
    <row r="52" spans="1:12" ht="15.6" customHeight="1" outlineLevel="1" x14ac:dyDescent="0.3">
      <c r="A52" s="396"/>
      <c r="B52" s="396"/>
      <c r="C52" s="404"/>
      <c r="D52" s="328">
        <v>2300</v>
      </c>
      <c r="E52" s="46">
        <f>декоры!E50-декоры!E39</f>
        <v>7410</v>
      </c>
      <c r="F52" s="46">
        <f>декоры!F50-декоры!E39</f>
        <v>12870</v>
      </c>
      <c r="G52" s="46">
        <f>декоры!G50-декоры!E39</f>
        <v>12870</v>
      </c>
      <c r="H52" s="107"/>
      <c r="I52" s="107"/>
    </row>
    <row r="53" spans="1:12" ht="15.6" customHeight="1" outlineLevel="1" x14ac:dyDescent="0.3">
      <c r="A53" s="396"/>
      <c r="B53" s="396"/>
      <c r="C53" s="404"/>
      <c r="D53" s="328">
        <v>2400</v>
      </c>
      <c r="E53" s="46">
        <f>декоры!E51-декоры!E40</f>
        <v>7980</v>
      </c>
      <c r="F53" s="46">
        <f>декоры!F51-декоры!E40</f>
        <v>13860</v>
      </c>
      <c r="G53" s="46">
        <f>декоры!G51-декоры!E40</f>
        <v>13860</v>
      </c>
      <c r="H53" s="107"/>
      <c r="I53" s="107"/>
    </row>
    <row r="54" spans="1:12" ht="15.6" customHeight="1" x14ac:dyDescent="0.3">
      <c r="A54" s="396"/>
      <c r="B54" s="396"/>
      <c r="C54" s="404">
        <v>900</v>
      </c>
      <c r="D54" s="50">
        <v>2000</v>
      </c>
      <c r="E54" s="46">
        <f>декоры!E52-декоры!E41</f>
        <v>6270</v>
      </c>
      <c r="F54" s="46">
        <f>декоры!F52-декоры!E41</f>
        <v>10890</v>
      </c>
      <c r="G54" s="46">
        <f>декоры!G52-декоры!E41</f>
        <v>10890</v>
      </c>
      <c r="H54" s="107"/>
      <c r="I54" s="107"/>
    </row>
    <row r="55" spans="1:12" ht="15.6" customHeight="1" outlineLevel="1" x14ac:dyDescent="0.3">
      <c r="A55" s="396"/>
      <c r="B55" s="396"/>
      <c r="C55" s="404"/>
      <c r="D55" s="328">
        <v>2100</v>
      </c>
      <c r="E55" s="46">
        <f>декоры!E53-декоры!E42</f>
        <v>6905.9999999999982</v>
      </c>
      <c r="F55" s="46">
        <f>декоры!F53-декоры!E42</f>
        <v>11985.999999999998</v>
      </c>
      <c r="G55" s="46">
        <f>декоры!G53-декоры!E42</f>
        <v>11979.000000000002</v>
      </c>
      <c r="H55" s="107"/>
      <c r="I55" s="107"/>
    </row>
    <row r="56" spans="1:12" ht="15.6" customHeight="1" outlineLevel="1" x14ac:dyDescent="0.3">
      <c r="A56" s="396"/>
      <c r="B56" s="396"/>
      <c r="C56" s="404"/>
      <c r="D56" s="328">
        <v>2200</v>
      </c>
      <c r="E56" s="46">
        <f>декоры!E54-декоры!E43</f>
        <v>7531.9999999999982</v>
      </c>
      <c r="F56" s="46">
        <f>декоры!F54-декоры!E43</f>
        <v>13071.999999999998</v>
      </c>
      <c r="G56" s="46">
        <f>декоры!G54-декоры!E43</f>
        <v>13068.000000000002</v>
      </c>
      <c r="H56" s="107"/>
      <c r="I56" s="107"/>
    </row>
    <row r="57" spans="1:12" ht="15.6" customHeight="1" outlineLevel="1" x14ac:dyDescent="0.3">
      <c r="A57" s="396"/>
      <c r="B57" s="396"/>
      <c r="C57" s="404"/>
      <c r="D57" s="328">
        <v>2300</v>
      </c>
      <c r="E57" s="46">
        <f>декоры!E55-декоры!E44</f>
        <v>8157.9999999999982</v>
      </c>
      <c r="F57" s="46">
        <f>декоры!F55-декоры!E44</f>
        <v>14157.999999999998</v>
      </c>
      <c r="G57" s="46">
        <f>декоры!G55-декоры!E44</f>
        <v>14157.000000000002</v>
      </c>
      <c r="H57" s="107"/>
      <c r="I57" s="107"/>
    </row>
    <row r="58" spans="1:12" ht="15.6" customHeight="1" outlineLevel="1" x14ac:dyDescent="0.3">
      <c r="A58" s="396"/>
      <c r="B58" s="396"/>
      <c r="C58" s="404"/>
      <c r="D58" s="328">
        <v>2400</v>
      </c>
      <c r="E58" s="46">
        <f>декоры!E56-декоры!E45</f>
        <v>8783.9999999999982</v>
      </c>
      <c r="F58" s="46">
        <f>декоры!F56-декоры!E45</f>
        <v>15253.999999999998</v>
      </c>
      <c r="G58" s="46">
        <f>декоры!G56-декоры!E45</f>
        <v>15246.000000000002</v>
      </c>
      <c r="H58" s="107"/>
      <c r="I58" s="107"/>
    </row>
    <row r="59" spans="1:12" ht="15.6" customHeight="1" x14ac:dyDescent="0.3">
      <c r="A59" s="114"/>
      <c r="B59" s="115"/>
      <c r="C59" s="439" t="s">
        <v>154</v>
      </c>
      <c r="D59" s="440"/>
      <c r="E59" s="440"/>
      <c r="F59" s="440"/>
      <c r="G59" s="441"/>
      <c r="H59" s="107"/>
      <c r="I59" s="107"/>
    </row>
    <row r="60" spans="1:12" ht="48" customHeight="1" x14ac:dyDescent="0.3">
      <c r="A60" s="116"/>
      <c r="B60" s="117"/>
      <c r="C60" s="290" t="s">
        <v>65</v>
      </c>
      <c r="D60" s="290" t="s">
        <v>66</v>
      </c>
      <c r="E60" s="290" t="s">
        <v>325</v>
      </c>
      <c r="F60" s="290" t="s">
        <v>391</v>
      </c>
      <c r="G60" s="291" t="s">
        <v>158</v>
      </c>
      <c r="H60" s="107"/>
      <c r="I60" s="107"/>
    </row>
    <row r="61" spans="1:12" ht="15.6" customHeight="1" x14ac:dyDescent="0.3">
      <c r="A61" s="396" t="s">
        <v>378</v>
      </c>
      <c r="B61" s="396"/>
      <c r="C61" s="404" t="s">
        <v>67</v>
      </c>
      <c r="D61" s="50">
        <v>2000</v>
      </c>
      <c r="E61" s="285" t="s">
        <v>368</v>
      </c>
      <c r="F61" s="285">
        <f>декоры!F59-декоры!E59</f>
        <v>800</v>
      </c>
      <c r="G61" s="334">
        <f>декоры!G59-декоры!E59</f>
        <v>2350</v>
      </c>
      <c r="H61" s="107"/>
      <c r="I61" s="107"/>
    </row>
    <row r="62" spans="1:12" ht="15.6" customHeight="1" outlineLevel="1" x14ac:dyDescent="0.3">
      <c r="A62" s="396"/>
      <c r="B62" s="396"/>
      <c r="C62" s="404"/>
      <c r="D62" s="328">
        <v>2100</v>
      </c>
      <c r="E62" s="285" t="s">
        <v>368</v>
      </c>
      <c r="F62" s="285">
        <f>декоры!F60-декоры!E60</f>
        <v>870</v>
      </c>
      <c r="G62" s="334">
        <f>декоры!G60-декоры!E60</f>
        <v>2620</v>
      </c>
      <c r="H62" s="107"/>
      <c r="I62" s="107"/>
    </row>
    <row r="63" spans="1:12" ht="15.6" customHeight="1" outlineLevel="1" x14ac:dyDescent="0.3">
      <c r="A63" s="396"/>
      <c r="B63" s="396"/>
      <c r="C63" s="404"/>
      <c r="D63" s="328">
        <v>2200</v>
      </c>
      <c r="E63" s="285" t="s">
        <v>368</v>
      </c>
      <c r="F63" s="285">
        <f>декоры!F61-декоры!E61</f>
        <v>940</v>
      </c>
      <c r="G63" s="334">
        <f>декоры!G61-декоры!E61</f>
        <v>2840</v>
      </c>
      <c r="H63" s="107"/>
      <c r="I63" s="107"/>
    </row>
    <row r="64" spans="1:12" ht="15.6" customHeight="1" outlineLevel="1" x14ac:dyDescent="0.3">
      <c r="A64" s="396"/>
      <c r="B64" s="396"/>
      <c r="C64" s="404"/>
      <c r="D64" s="328">
        <v>2300</v>
      </c>
      <c r="E64" s="285" t="s">
        <v>368</v>
      </c>
      <c r="F64" s="285">
        <f>декоры!F62-декоры!E62</f>
        <v>1060</v>
      </c>
      <c r="G64" s="334">
        <f>декоры!G62-декоры!E62</f>
        <v>3060</v>
      </c>
      <c r="H64" s="107"/>
      <c r="I64" s="107"/>
    </row>
    <row r="65" spans="1:15" ht="15.6" customHeight="1" outlineLevel="1" x14ac:dyDescent="0.3">
      <c r="A65" s="396"/>
      <c r="B65" s="396"/>
      <c r="C65" s="404"/>
      <c r="D65" s="328">
        <v>2400</v>
      </c>
      <c r="E65" s="285" t="s">
        <v>368</v>
      </c>
      <c r="F65" s="285">
        <f>декоры!F63-декоры!E63</f>
        <v>1130</v>
      </c>
      <c r="G65" s="334">
        <f>декоры!G63-декоры!E63</f>
        <v>3280</v>
      </c>
      <c r="H65" s="107"/>
      <c r="I65" s="107"/>
    </row>
    <row r="66" spans="1:15" ht="15.6" customHeight="1" x14ac:dyDescent="0.3">
      <c r="A66" s="396"/>
      <c r="B66" s="396"/>
      <c r="C66" s="404">
        <v>900</v>
      </c>
      <c r="D66" s="50">
        <v>2000</v>
      </c>
      <c r="E66" s="285" t="s">
        <v>368</v>
      </c>
      <c r="F66" s="285">
        <f>декоры!F64-декоры!E64</f>
        <v>870</v>
      </c>
      <c r="G66" s="334">
        <f>декоры!G64-декоры!E64</f>
        <v>2620</v>
      </c>
      <c r="H66" s="107"/>
      <c r="I66" s="107"/>
    </row>
    <row r="67" spans="1:15" ht="15.6" customHeight="1" outlineLevel="1" x14ac:dyDescent="0.3">
      <c r="A67" s="396"/>
      <c r="B67" s="396"/>
      <c r="C67" s="404"/>
      <c r="D67" s="328">
        <v>2100</v>
      </c>
      <c r="E67" s="285" t="s">
        <v>368</v>
      </c>
      <c r="F67" s="285">
        <f>декоры!F65-декоры!E65</f>
        <v>960</v>
      </c>
      <c r="G67" s="334">
        <f>декоры!G65-декоры!E65</f>
        <v>2860</v>
      </c>
      <c r="H67" s="107"/>
      <c r="I67" s="107"/>
    </row>
    <row r="68" spans="1:15" ht="15.6" customHeight="1" outlineLevel="1" x14ac:dyDescent="0.3">
      <c r="A68" s="396"/>
      <c r="B68" s="396"/>
      <c r="C68" s="404"/>
      <c r="D68" s="328">
        <v>2200</v>
      </c>
      <c r="E68" s="285" t="s">
        <v>368</v>
      </c>
      <c r="F68" s="285">
        <f>декоры!F66-декоры!E66</f>
        <v>1050</v>
      </c>
      <c r="G68" s="334">
        <f>декоры!G66-декоры!E66</f>
        <v>3100</v>
      </c>
      <c r="H68" s="107"/>
      <c r="I68" s="107"/>
    </row>
    <row r="69" spans="1:15" ht="15.6" customHeight="1" outlineLevel="1" x14ac:dyDescent="0.3">
      <c r="A69" s="396"/>
      <c r="B69" s="396"/>
      <c r="C69" s="404"/>
      <c r="D69" s="328">
        <v>2300</v>
      </c>
      <c r="E69" s="285" t="s">
        <v>368</v>
      </c>
      <c r="F69" s="285">
        <f>декоры!F67-декоры!E67</f>
        <v>1140</v>
      </c>
      <c r="G69" s="334">
        <f>декоры!G67-декоры!E67</f>
        <v>3390</v>
      </c>
      <c r="H69" s="107"/>
      <c r="I69" s="107"/>
    </row>
    <row r="70" spans="1:15" ht="15.6" customHeight="1" outlineLevel="1" x14ac:dyDescent="0.3">
      <c r="A70" s="396"/>
      <c r="B70" s="396"/>
      <c r="C70" s="404"/>
      <c r="D70" s="328">
        <v>2400</v>
      </c>
      <c r="E70" s="285" t="s">
        <v>368</v>
      </c>
      <c r="F70" s="285">
        <f>декоры!F68-декоры!E68</f>
        <v>1230</v>
      </c>
      <c r="G70" s="334">
        <f>декоры!G68-декоры!E68</f>
        <v>3630</v>
      </c>
      <c r="H70" s="107"/>
      <c r="I70" s="107"/>
    </row>
    <row r="71" spans="1:15" ht="26.25" customHeight="1" x14ac:dyDescent="0.3">
      <c r="A71" s="455" t="s">
        <v>419</v>
      </c>
      <c r="B71" s="455"/>
      <c r="C71" s="455"/>
      <c r="D71" s="455"/>
      <c r="E71" s="455"/>
      <c r="F71" s="455"/>
      <c r="G71" s="455"/>
    </row>
    <row r="72" spans="1:15" ht="26.25" customHeight="1" x14ac:dyDescent="0.3">
      <c r="A72" s="136"/>
      <c r="B72" s="136"/>
      <c r="C72" s="136"/>
      <c r="D72" s="136"/>
      <c r="E72" s="136"/>
      <c r="F72" s="136"/>
      <c r="G72" s="136"/>
    </row>
    <row r="73" spans="1:15" ht="15.6" customHeight="1" x14ac:dyDescent="0.3">
      <c r="A73" s="105" t="s">
        <v>142</v>
      </c>
      <c r="B73" s="36"/>
      <c r="C73" s="36"/>
      <c r="D73" s="36"/>
      <c r="E73" s="36"/>
      <c r="F73" s="36"/>
      <c r="G73" s="36"/>
    </row>
    <row r="74" spans="1:15" ht="15.6" customHeight="1" x14ac:dyDescent="0.3">
      <c r="A74" s="284" t="s">
        <v>361</v>
      </c>
      <c r="B74" s="36"/>
      <c r="C74" s="36"/>
      <c r="D74" s="36"/>
      <c r="E74" s="36"/>
      <c r="F74" s="36"/>
      <c r="G74" s="36"/>
    </row>
    <row r="75" spans="1:15" ht="12.75" customHeight="1" x14ac:dyDescent="0.3">
      <c r="A75" s="41"/>
      <c r="B75" s="41"/>
      <c r="C75" s="41"/>
      <c r="D75" s="41"/>
      <c r="E75" s="41"/>
      <c r="F75" s="41"/>
      <c r="G75" s="41"/>
    </row>
    <row r="76" spans="1:15" ht="15.6" customHeight="1" x14ac:dyDescent="0.3">
      <c r="A76" s="407" t="s">
        <v>174</v>
      </c>
      <c r="B76" s="407"/>
      <c r="C76" s="407"/>
      <c r="D76" s="407"/>
      <c r="E76" s="407"/>
      <c r="F76" s="407"/>
      <c r="G76" s="407"/>
    </row>
    <row r="77" spans="1:15" ht="15.6" customHeight="1" x14ac:dyDescent="0.3">
      <c r="A77" s="403" t="s">
        <v>367</v>
      </c>
      <c r="B77" s="403"/>
      <c r="C77" s="403" t="s">
        <v>68</v>
      </c>
      <c r="D77" s="403"/>
      <c r="E77" s="403"/>
      <c r="F77" s="403"/>
      <c r="G77" s="403"/>
    </row>
    <row r="78" spans="1:15" ht="24" customHeight="1" x14ac:dyDescent="0.3">
      <c r="A78" s="403"/>
      <c r="B78" s="403"/>
      <c r="C78" s="113" t="s">
        <v>65</v>
      </c>
      <c r="D78" s="113" t="s">
        <v>66</v>
      </c>
      <c r="E78" s="113" t="s">
        <v>166</v>
      </c>
      <c r="F78" s="326" t="s">
        <v>163</v>
      </c>
      <c r="G78" s="113" t="s">
        <v>88</v>
      </c>
    </row>
    <row r="79" spans="1:15" s="49" customFormat="1" ht="27" customHeight="1" x14ac:dyDescent="0.3">
      <c r="A79" s="396" t="s">
        <v>378</v>
      </c>
      <c r="B79" s="325" t="s">
        <v>381</v>
      </c>
      <c r="C79" s="404" t="s">
        <v>67</v>
      </c>
      <c r="D79" s="50">
        <v>2000</v>
      </c>
      <c r="E79" s="48">
        <f>'Porte39-00'!E79</f>
        <v>13850</v>
      </c>
      <c r="F79" s="48">
        <f>F13+E79+F92+$F$97</f>
        <v>56620</v>
      </c>
      <c r="G79" s="48">
        <f>G13+E79+F92+$F$97</f>
        <v>49770</v>
      </c>
      <c r="J79"/>
      <c r="K79"/>
      <c r="L79"/>
      <c r="M79"/>
      <c r="N79"/>
      <c r="O79"/>
    </row>
    <row r="80" spans="1:15" ht="25.5" customHeight="1" outlineLevel="1" x14ac:dyDescent="0.3">
      <c r="A80" s="396"/>
      <c r="B80" s="402" t="s">
        <v>381</v>
      </c>
      <c r="C80" s="404"/>
      <c r="D80" s="328">
        <v>2100</v>
      </c>
      <c r="E80" s="46">
        <f>'Porte39-00'!E80</f>
        <v>13850</v>
      </c>
      <c r="F80" s="46">
        <f>F14+E80+F93+$F$97</f>
        <v>60070</v>
      </c>
      <c r="G80" s="46">
        <f>G14+E80+F93+$F$97</f>
        <v>52530</v>
      </c>
    </row>
    <row r="81" spans="1:15" ht="25.5" customHeight="1" outlineLevel="1" x14ac:dyDescent="0.3">
      <c r="A81" s="396"/>
      <c r="B81" s="402"/>
      <c r="C81" s="404"/>
      <c r="D81" s="328">
        <v>2200</v>
      </c>
      <c r="E81" s="46">
        <f>'Porte39-00'!E81</f>
        <v>15125</v>
      </c>
      <c r="F81" s="46">
        <f>F15+E81+F94+$F$97</f>
        <v>64745</v>
      </c>
      <c r="G81" s="46">
        <f>G15+E81+F94+$F$97</f>
        <v>56525</v>
      </c>
    </row>
    <row r="82" spans="1:15" ht="25.5" customHeight="1" outlineLevel="1" x14ac:dyDescent="0.3">
      <c r="A82" s="396"/>
      <c r="B82" s="325" t="s">
        <v>381</v>
      </c>
      <c r="C82" s="404"/>
      <c r="D82" s="328">
        <v>2300</v>
      </c>
      <c r="E82" s="46">
        <f>'Porte39-00'!E82</f>
        <v>15125</v>
      </c>
      <c r="F82" s="46">
        <f t="shared" ref="F82:F83" si="5">F16+E82+F95+$F$97</f>
        <v>71615</v>
      </c>
      <c r="G82" s="46">
        <f t="shared" ref="G82:G83" si="6">G16+E82+F95+$F$97</f>
        <v>62705</v>
      </c>
    </row>
    <row r="83" spans="1:15" ht="25.5" customHeight="1" outlineLevel="1" x14ac:dyDescent="0.3">
      <c r="A83" s="396"/>
      <c r="B83" s="325" t="s">
        <v>381</v>
      </c>
      <c r="C83" s="404"/>
      <c r="D83" s="328">
        <v>2400</v>
      </c>
      <c r="E83" s="46">
        <f>'Porte39-00'!E83</f>
        <v>17753</v>
      </c>
      <c r="F83" s="46">
        <f t="shared" si="5"/>
        <v>77643</v>
      </c>
      <c r="G83" s="46">
        <f t="shared" si="6"/>
        <v>68053</v>
      </c>
    </row>
    <row r="84" spans="1:15" s="49" customFormat="1" ht="27" customHeight="1" x14ac:dyDescent="0.3">
      <c r="A84" s="396"/>
      <c r="B84" s="325" t="s">
        <v>381</v>
      </c>
      <c r="C84" s="404">
        <v>900</v>
      </c>
      <c r="D84" s="50">
        <v>2000</v>
      </c>
      <c r="E84" s="48">
        <f>E79</f>
        <v>13850</v>
      </c>
      <c r="F84" s="48">
        <f>F18+E84+F92+$F$97</f>
        <v>60070</v>
      </c>
      <c r="G84" s="48">
        <f>G18+E84+F92+$F$97</f>
        <v>52530</v>
      </c>
      <c r="J84"/>
      <c r="K84"/>
      <c r="L84"/>
      <c r="M84"/>
      <c r="N84"/>
      <c r="O84"/>
    </row>
    <row r="85" spans="1:15" ht="25.5" customHeight="1" outlineLevel="1" x14ac:dyDescent="0.3">
      <c r="A85" s="396"/>
      <c r="B85" s="402" t="s">
        <v>381</v>
      </c>
      <c r="C85" s="404"/>
      <c r="D85" s="328">
        <v>2100</v>
      </c>
      <c r="E85" s="46">
        <f>E80</f>
        <v>13850</v>
      </c>
      <c r="F85" s="46">
        <f t="shared" ref="F85:F88" si="7">F19+E85+F93+$F$97</f>
        <v>63870</v>
      </c>
      <c r="G85" s="46">
        <f t="shared" ref="G85:G88" si="8">G19+E85+F93+$F$97</f>
        <v>55570</v>
      </c>
    </row>
    <row r="86" spans="1:15" ht="25.5" customHeight="1" outlineLevel="1" x14ac:dyDescent="0.3">
      <c r="A86" s="396"/>
      <c r="B86" s="402"/>
      <c r="C86" s="404"/>
      <c r="D86" s="328">
        <v>2200</v>
      </c>
      <c r="E86" s="46">
        <f t="shared" ref="E86:E87" si="9">E81</f>
        <v>15125</v>
      </c>
      <c r="F86" s="46">
        <f t="shared" si="7"/>
        <v>68895</v>
      </c>
      <c r="G86" s="46">
        <f t="shared" si="8"/>
        <v>59845</v>
      </c>
    </row>
    <row r="87" spans="1:15" ht="25.5" customHeight="1" outlineLevel="1" x14ac:dyDescent="0.3">
      <c r="A87" s="396"/>
      <c r="B87" s="325" t="s">
        <v>381</v>
      </c>
      <c r="C87" s="404"/>
      <c r="D87" s="328">
        <v>2300</v>
      </c>
      <c r="E87" s="46">
        <f t="shared" si="9"/>
        <v>15125</v>
      </c>
      <c r="F87" s="46">
        <f t="shared" si="7"/>
        <v>76115</v>
      </c>
      <c r="G87" s="46">
        <f t="shared" si="8"/>
        <v>66305</v>
      </c>
    </row>
    <row r="88" spans="1:15" ht="25.5" customHeight="1" outlineLevel="1" x14ac:dyDescent="0.3">
      <c r="A88" s="396"/>
      <c r="B88" s="325" t="s">
        <v>381</v>
      </c>
      <c r="C88" s="404"/>
      <c r="D88" s="328">
        <v>2400</v>
      </c>
      <c r="E88" s="46">
        <f>E83</f>
        <v>17753</v>
      </c>
      <c r="F88" s="46">
        <f t="shared" si="7"/>
        <v>82493</v>
      </c>
      <c r="G88" s="46">
        <f t="shared" si="8"/>
        <v>71933</v>
      </c>
    </row>
    <row r="89" spans="1:15" x14ac:dyDescent="0.3">
      <c r="A89" s="412"/>
      <c r="B89" s="412"/>
      <c r="C89" s="215"/>
      <c r="D89" s="289"/>
      <c r="E89" s="289"/>
      <c r="F89" s="289"/>
      <c r="G89" s="289"/>
    </row>
    <row r="90" spans="1:15" x14ac:dyDescent="0.3">
      <c r="A90" s="109" t="s">
        <v>383</v>
      </c>
      <c r="B90" s="288"/>
      <c r="C90" s="215"/>
      <c r="D90" s="289"/>
      <c r="E90" s="289"/>
      <c r="F90" s="289"/>
      <c r="G90" s="289"/>
      <c r="H90" s="289"/>
      <c r="I90" s="289"/>
      <c r="J90" s="289"/>
    </row>
    <row r="91" spans="1:15" ht="45" customHeight="1" x14ac:dyDescent="0.3">
      <c r="A91" s="417" t="s">
        <v>169</v>
      </c>
      <c r="B91" s="418"/>
      <c r="C91" s="113" t="s">
        <v>173</v>
      </c>
      <c r="D91" s="113" t="s">
        <v>66</v>
      </c>
      <c r="E91" s="113" t="s">
        <v>172</v>
      </c>
      <c r="F91" s="113" t="s">
        <v>108</v>
      </c>
      <c r="G91" s="289"/>
    </row>
    <row r="92" spans="1:15" x14ac:dyDescent="0.3">
      <c r="A92" s="422" t="s">
        <v>168</v>
      </c>
      <c r="B92" s="422" t="s">
        <v>167</v>
      </c>
      <c r="C92" s="425">
        <v>3420</v>
      </c>
      <c r="D92" s="50">
        <v>2000</v>
      </c>
      <c r="E92" s="128">
        <v>2</v>
      </c>
      <c r="F92" s="48">
        <f>$C$92*E92</f>
        <v>6840</v>
      </c>
      <c r="G92" s="289"/>
    </row>
    <row r="93" spans="1:15" x14ac:dyDescent="0.3">
      <c r="A93" s="423"/>
      <c r="B93" s="423"/>
      <c r="C93" s="426"/>
      <c r="D93" s="293">
        <v>2100</v>
      </c>
      <c r="E93" s="128">
        <v>2</v>
      </c>
      <c r="F93" s="46">
        <f t="shared" ref="F93:F96" si="10">$C$92*E93</f>
        <v>6840</v>
      </c>
      <c r="G93" s="289"/>
    </row>
    <row r="94" spans="1:15" x14ac:dyDescent="0.3">
      <c r="A94" s="423"/>
      <c r="B94" s="423"/>
      <c r="C94" s="426"/>
      <c r="D94" s="293">
        <v>2200</v>
      </c>
      <c r="E94" s="128">
        <v>2</v>
      </c>
      <c r="F94" s="46">
        <f t="shared" si="10"/>
        <v>6840</v>
      </c>
      <c r="G94" s="289"/>
    </row>
    <row r="95" spans="1:15" x14ac:dyDescent="0.3">
      <c r="A95" s="423"/>
      <c r="B95" s="423"/>
      <c r="C95" s="426"/>
      <c r="D95" s="293">
        <v>2300</v>
      </c>
      <c r="E95" s="128">
        <v>3</v>
      </c>
      <c r="F95" s="46">
        <f t="shared" si="10"/>
        <v>10260</v>
      </c>
      <c r="G95" s="289"/>
    </row>
    <row r="96" spans="1:15" x14ac:dyDescent="0.3">
      <c r="A96" s="424"/>
      <c r="B96" s="424"/>
      <c r="C96" s="427"/>
      <c r="D96" s="328">
        <v>2400</v>
      </c>
      <c r="E96" s="128">
        <v>3</v>
      </c>
      <c r="F96" s="46">
        <f t="shared" si="10"/>
        <v>10260</v>
      </c>
      <c r="G96" s="327"/>
    </row>
    <row r="97" spans="1:7" ht="27.75" customHeight="1" x14ac:dyDescent="0.3">
      <c r="A97" s="129" t="s">
        <v>170</v>
      </c>
      <c r="B97" s="294" t="s">
        <v>171</v>
      </c>
      <c r="C97" s="131">
        <v>1680</v>
      </c>
      <c r="D97" s="132"/>
      <c r="E97" s="132">
        <v>1</v>
      </c>
      <c r="F97" s="48">
        <f>$C$97*E97</f>
        <v>1680</v>
      </c>
      <c r="G97" s="289"/>
    </row>
    <row r="148" spans="1:7" ht="15" customHeight="1" x14ac:dyDescent="0.3"/>
    <row r="149" spans="1:7" x14ac:dyDescent="0.3">
      <c r="A149" s="39"/>
      <c r="B149" s="39"/>
    </row>
    <row r="150" spans="1:7" x14ac:dyDescent="0.3">
      <c r="B150" s="39"/>
      <c r="C150" s="40"/>
      <c r="D150" s="40"/>
      <c r="E150" s="40"/>
      <c r="F150" s="40"/>
      <c r="G150" s="40"/>
    </row>
    <row r="151" spans="1:7" x14ac:dyDescent="0.3">
      <c r="A151" s="39"/>
      <c r="B151" s="39"/>
    </row>
    <row r="152" spans="1:7" x14ac:dyDescent="0.3">
      <c r="A152" s="39"/>
      <c r="B152" s="39"/>
    </row>
    <row r="153" spans="1:7" x14ac:dyDescent="0.3">
      <c r="A153" s="39"/>
      <c r="B153" s="39"/>
    </row>
    <row r="154" spans="1:7" x14ac:dyDescent="0.3">
      <c r="A154" s="39"/>
      <c r="B154" s="39"/>
    </row>
    <row r="155" spans="1:7" x14ac:dyDescent="0.3">
      <c r="A155" s="39"/>
      <c r="B155" s="39"/>
    </row>
    <row r="156" spans="1:7" x14ac:dyDescent="0.3">
      <c r="A156" s="39"/>
      <c r="B156" s="39"/>
    </row>
    <row r="157" spans="1:7" x14ac:dyDescent="0.3">
      <c r="A157" s="39"/>
      <c r="B157" s="39"/>
    </row>
    <row r="158" spans="1:7" x14ac:dyDescent="0.3">
      <c r="A158" s="39"/>
      <c r="B158" s="39"/>
    </row>
    <row r="159" spans="1:7" x14ac:dyDescent="0.3">
      <c r="A159" s="39"/>
      <c r="B159" s="39"/>
    </row>
    <row r="160" spans="1:7" x14ac:dyDescent="0.3">
      <c r="A160" s="39"/>
      <c r="B160" s="39"/>
    </row>
    <row r="161" spans="1:2" x14ac:dyDescent="0.3">
      <c r="A161" s="39"/>
      <c r="B161" s="39"/>
    </row>
    <row r="162" spans="1:2" x14ac:dyDescent="0.3">
      <c r="A162" s="39"/>
      <c r="B162" s="39"/>
    </row>
    <row r="163" spans="1:2" x14ac:dyDescent="0.3">
      <c r="A163" s="39"/>
      <c r="B163" s="39"/>
    </row>
    <row r="164" spans="1:2" x14ac:dyDescent="0.3">
      <c r="A164" s="39"/>
      <c r="B164" s="39"/>
    </row>
    <row r="165" spans="1:2" x14ac:dyDescent="0.3">
      <c r="A165" s="39"/>
      <c r="B165" s="39"/>
    </row>
    <row r="166" spans="1:2" x14ac:dyDescent="0.3">
      <c r="A166" s="39"/>
      <c r="B166" s="39"/>
    </row>
    <row r="167" spans="1:2" x14ac:dyDescent="0.3">
      <c r="A167" s="39"/>
      <c r="B167" s="39"/>
    </row>
    <row r="168" spans="1:2" x14ac:dyDescent="0.3">
      <c r="A168" s="39"/>
      <c r="B168" s="39"/>
    </row>
    <row r="169" spans="1:2" x14ac:dyDescent="0.3">
      <c r="A169" s="39"/>
      <c r="B169" s="39"/>
    </row>
    <row r="170" spans="1:2" x14ac:dyDescent="0.3">
      <c r="A170" s="39"/>
      <c r="B170" s="39"/>
    </row>
    <row r="171" spans="1:2" x14ac:dyDescent="0.3">
      <c r="A171" s="39"/>
      <c r="B171" s="39"/>
    </row>
    <row r="172" spans="1:2" x14ac:dyDescent="0.3">
      <c r="A172" s="39"/>
      <c r="B172" s="39"/>
    </row>
  </sheetData>
  <mergeCells count="40">
    <mergeCell ref="A91:B91"/>
    <mergeCell ref="A92:A96"/>
    <mergeCell ref="B92:B96"/>
    <mergeCell ref="C92:C96"/>
    <mergeCell ref="B85:B86"/>
    <mergeCell ref="A79:A88"/>
    <mergeCell ref="C79:C83"/>
    <mergeCell ref="C84:C88"/>
    <mergeCell ref="A89:B89"/>
    <mergeCell ref="A71:G71"/>
    <mergeCell ref="A76:G76"/>
    <mergeCell ref="A77:B78"/>
    <mergeCell ref="C77:G77"/>
    <mergeCell ref="B80:B81"/>
    <mergeCell ref="D27:G27"/>
    <mergeCell ref="A35:G35"/>
    <mergeCell ref="A13:B22"/>
    <mergeCell ref="C48:G48"/>
    <mergeCell ref="C59:G59"/>
    <mergeCell ref="C13:C17"/>
    <mergeCell ref="C18:C22"/>
    <mergeCell ref="A29:B33"/>
    <mergeCell ref="A38:B47"/>
    <mergeCell ref="C38:C42"/>
    <mergeCell ref="C43:C47"/>
    <mergeCell ref="A36:B37"/>
    <mergeCell ref="C36:G36"/>
    <mergeCell ref="A26:G26"/>
    <mergeCell ref="A27:B28"/>
    <mergeCell ref="A3:G3"/>
    <mergeCell ref="A4:G4"/>
    <mergeCell ref="A10:G10"/>
    <mergeCell ref="A11:B12"/>
    <mergeCell ref="C11:F11"/>
    <mergeCell ref="A61:B70"/>
    <mergeCell ref="C61:C65"/>
    <mergeCell ref="C66:C70"/>
    <mergeCell ref="A49:B58"/>
    <mergeCell ref="C49:C53"/>
    <mergeCell ref="C54:C58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72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0"/>
  <sheetViews>
    <sheetView view="pageBreakPreview" topLeftCell="A85" zoomScaleNormal="100" zoomScaleSheetLayoutView="100" workbookViewId="0">
      <selection activeCell="F90" sqref="F90"/>
    </sheetView>
  </sheetViews>
  <sheetFormatPr defaultRowHeight="14.4" outlineLevelRow="1" outlineLevelCol="1" x14ac:dyDescent="0.3"/>
  <cols>
    <col min="1" max="1" width="11.6640625" customWidth="1"/>
    <col min="2" max="2" width="24" bestFit="1" customWidth="1"/>
    <col min="3" max="7" width="12.6640625" customWidth="1"/>
    <col min="8" max="8" width="9.109375" hidden="1" customWidth="1" outlineLevel="1"/>
    <col min="9" max="9" width="11.44140625" hidden="1" customWidth="1" outlineLevel="1"/>
    <col min="10" max="10" width="0" hidden="1" customWidth="1" collapsed="1"/>
    <col min="11" max="12" width="0" hidden="1" customWidth="1"/>
  </cols>
  <sheetData>
    <row r="1" spans="1:11" s="58" customFormat="1" ht="18.75" customHeight="1" x14ac:dyDescent="0.3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 x14ac:dyDescent="0.3">
      <c r="A2" s="91"/>
      <c r="B2" s="57"/>
      <c r="C2" s="57"/>
      <c r="D2" s="57"/>
      <c r="E2" s="57"/>
      <c r="F2"/>
      <c r="G2"/>
    </row>
    <row r="3" spans="1:11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1" ht="17.399999999999999" x14ac:dyDescent="0.3">
      <c r="A4" s="397" t="s">
        <v>58</v>
      </c>
      <c r="B4" s="397"/>
      <c r="C4" s="397"/>
      <c r="D4" s="397"/>
      <c r="E4" s="397"/>
      <c r="F4" s="397"/>
      <c r="G4" s="397"/>
    </row>
    <row r="5" spans="1:11" ht="9" customHeight="1" x14ac:dyDescent="0.3">
      <c r="A5" s="33"/>
      <c r="B5" s="33"/>
      <c r="C5" s="33"/>
      <c r="D5" s="33"/>
      <c r="E5" s="33"/>
      <c r="F5" s="33"/>
      <c r="G5" s="33"/>
    </row>
    <row r="6" spans="1:11" ht="9" customHeight="1" x14ac:dyDescent="0.3">
      <c r="A6" s="33"/>
      <c r="B6" s="33"/>
      <c r="C6" s="33"/>
      <c r="D6" s="33"/>
      <c r="E6" s="33"/>
      <c r="F6" s="33"/>
      <c r="G6" s="33"/>
    </row>
    <row r="7" spans="1:11" ht="144" customHeight="1" x14ac:dyDescent="0.3">
      <c r="C7" s="1"/>
      <c r="D7" s="1"/>
      <c r="E7" s="1"/>
      <c r="F7" s="1"/>
      <c r="G7" s="1"/>
    </row>
    <row r="8" spans="1:11" ht="20.25" customHeight="1" x14ac:dyDescent="0.3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 x14ac:dyDescent="0.3">
      <c r="A9" s="36"/>
      <c r="B9" s="36"/>
      <c r="C9" s="36"/>
      <c r="D9" s="36"/>
      <c r="E9" s="36"/>
      <c r="F9" s="36"/>
      <c r="G9" s="36"/>
    </row>
    <row r="10" spans="1:11" ht="15.6" customHeight="1" x14ac:dyDescent="0.3">
      <c r="A10" s="408" t="s">
        <v>136</v>
      </c>
      <c r="B10" s="409"/>
      <c r="C10" s="409"/>
      <c r="D10" s="409"/>
      <c r="E10" s="409"/>
      <c r="F10" s="409"/>
      <c r="G10" s="410"/>
    </row>
    <row r="11" spans="1:11" ht="15.6" customHeight="1" x14ac:dyDescent="0.3">
      <c r="A11" s="403" t="s">
        <v>83</v>
      </c>
      <c r="B11" s="403"/>
      <c r="C11" s="405" t="s">
        <v>68</v>
      </c>
      <c r="D11" s="406"/>
      <c r="E11" s="406"/>
      <c r="F11" s="406"/>
      <c r="G11" s="126"/>
    </row>
    <row r="12" spans="1:11" x14ac:dyDescent="0.3">
      <c r="A12" s="403"/>
      <c r="B12" s="403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 x14ac:dyDescent="0.3">
      <c r="A13" s="396" t="s">
        <v>182</v>
      </c>
      <c r="B13" s="396"/>
      <c r="C13" s="404" t="s">
        <v>67</v>
      </c>
      <c r="D13" s="50">
        <v>2000</v>
      </c>
      <c r="E13" s="50" t="s">
        <v>70</v>
      </c>
      <c r="F13" s="48">
        <f>база!F18</f>
        <v>19530</v>
      </c>
      <c r="G13" s="48">
        <f>F13*(1-$G$8)</f>
        <v>15624</v>
      </c>
      <c r="H13" s="48">
        <f>F13*0.61</f>
        <v>11913.3</v>
      </c>
      <c r="I13" s="48">
        <f>H13*(1-$I$8)</f>
        <v>10721.97</v>
      </c>
      <c r="J13" s="49">
        <v>18020</v>
      </c>
      <c r="K13" s="310">
        <f>F13/J13-1</f>
        <v>8.3795782463929047E-2</v>
      </c>
    </row>
    <row r="14" spans="1:11" ht="25.5" customHeight="1" outlineLevel="1" x14ac:dyDescent="0.3">
      <c r="A14" s="396"/>
      <c r="B14" s="396"/>
      <c r="C14" s="404"/>
      <c r="D14" s="328">
        <v>2100</v>
      </c>
      <c r="E14" s="47">
        <v>0.1</v>
      </c>
      <c r="F14" s="46">
        <f>CEILING(F13*(1+E14), 50)</f>
        <v>21500</v>
      </c>
      <c r="G14" s="46">
        <f t="shared" ref="G14:G21" si="0">F14*(1-$G$8)</f>
        <v>17200</v>
      </c>
      <c r="H14" s="48">
        <f t="shared" ref="H14:H21" si="1">F14*0.61</f>
        <v>13115</v>
      </c>
      <c r="I14" s="46">
        <f t="shared" ref="I14:I21" si="2">H14*(1-$I$8)</f>
        <v>11803.5</v>
      </c>
      <c r="J14">
        <v>19850</v>
      </c>
      <c r="K14" s="310">
        <f t="shared" ref="K14:K21" si="3">F14/J14-1</f>
        <v>8.3123425692695152E-2</v>
      </c>
    </row>
    <row r="15" spans="1:11" ht="25.5" customHeight="1" outlineLevel="1" x14ac:dyDescent="0.3">
      <c r="A15" s="396"/>
      <c r="B15" s="396"/>
      <c r="C15" s="404"/>
      <c r="D15" s="328">
        <v>2200</v>
      </c>
      <c r="E15" s="47">
        <v>0.2</v>
      </c>
      <c r="F15" s="46">
        <f>CEILING(F13*(1+E15), 50)</f>
        <v>23450</v>
      </c>
      <c r="G15" s="46">
        <f t="shared" si="0"/>
        <v>18760</v>
      </c>
      <c r="H15" s="48">
        <f t="shared" si="1"/>
        <v>14304.5</v>
      </c>
      <c r="I15" s="46">
        <f t="shared" si="2"/>
        <v>12874.050000000001</v>
      </c>
      <c r="J15">
        <v>21650</v>
      </c>
      <c r="K15" s="310">
        <f t="shared" si="3"/>
        <v>8.3140877598152363E-2</v>
      </c>
    </row>
    <row r="16" spans="1:11" ht="25.5" customHeight="1" outlineLevel="1" x14ac:dyDescent="0.3">
      <c r="A16" s="396"/>
      <c r="B16" s="396"/>
      <c r="C16" s="404"/>
      <c r="D16" s="328">
        <v>2300</v>
      </c>
      <c r="E16" s="47">
        <v>0.3</v>
      </c>
      <c r="F16" s="46">
        <f>CEILING(F13*(1+E16), 50)</f>
        <v>25400</v>
      </c>
      <c r="G16" s="46">
        <f t="shared" si="0"/>
        <v>20320</v>
      </c>
      <c r="H16" s="48">
        <f t="shared" si="1"/>
        <v>15494</v>
      </c>
      <c r="I16" s="46">
        <f t="shared" si="2"/>
        <v>13944.6</v>
      </c>
      <c r="J16">
        <v>23450</v>
      </c>
      <c r="K16" s="310">
        <f t="shared" si="3"/>
        <v>8.3155650319829411E-2</v>
      </c>
    </row>
    <row r="17" spans="1:11" ht="25.5" customHeight="1" outlineLevel="1" x14ac:dyDescent="0.3">
      <c r="A17" s="396"/>
      <c r="B17" s="396"/>
      <c r="C17" s="404"/>
      <c r="D17" s="328">
        <v>2400</v>
      </c>
      <c r="E17" s="47">
        <v>0.4</v>
      </c>
      <c r="F17" s="46">
        <f>CEILING(F13*(1+E17), 50)</f>
        <v>27350</v>
      </c>
      <c r="G17" s="46">
        <f t="shared" ref="G17" si="4">F17*(1-$G$8)</f>
        <v>21880</v>
      </c>
      <c r="H17" s="48"/>
      <c r="I17" s="46"/>
      <c r="K17" s="310"/>
    </row>
    <row r="18" spans="1:11" s="49" customFormat="1" ht="27" customHeight="1" x14ac:dyDescent="0.3">
      <c r="A18" s="396"/>
      <c r="B18" s="396"/>
      <c r="C18" s="404">
        <v>900</v>
      </c>
      <c r="D18" s="50">
        <v>2000</v>
      </c>
      <c r="E18" s="50" t="s">
        <v>70</v>
      </c>
      <c r="F18" s="48">
        <f>CEILING(F13*(1+10%), 50)</f>
        <v>21500</v>
      </c>
      <c r="G18" s="48">
        <f t="shared" si="0"/>
        <v>17200</v>
      </c>
      <c r="H18" s="48">
        <f t="shared" si="1"/>
        <v>13115</v>
      </c>
      <c r="I18" s="48">
        <f t="shared" si="2"/>
        <v>11803.5</v>
      </c>
      <c r="J18" s="49">
        <v>19850</v>
      </c>
      <c r="K18" s="310">
        <f t="shared" si="3"/>
        <v>8.3123425692695152E-2</v>
      </c>
    </row>
    <row r="19" spans="1:11" ht="25.5" customHeight="1" outlineLevel="1" x14ac:dyDescent="0.3">
      <c r="A19" s="396"/>
      <c r="B19" s="396"/>
      <c r="C19" s="404"/>
      <c r="D19" s="328">
        <v>2100</v>
      </c>
      <c r="E19" s="47">
        <v>0.1</v>
      </c>
      <c r="F19" s="46">
        <f>CEILING(F18*(1+E19), 50)</f>
        <v>23650</v>
      </c>
      <c r="G19" s="46">
        <f t="shared" si="0"/>
        <v>18920</v>
      </c>
      <c r="H19" s="48">
        <f t="shared" si="1"/>
        <v>14426.5</v>
      </c>
      <c r="I19" s="46">
        <f t="shared" si="2"/>
        <v>12983.85</v>
      </c>
      <c r="J19">
        <v>21850</v>
      </c>
      <c r="K19" s="310">
        <f t="shared" si="3"/>
        <v>8.237986270022879E-2</v>
      </c>
    </row>
    <row r="20" spans="1:11" ht="25.5" customHeight="1" outlineLevel="1" x14ac:dyDescent="0.3">
      <c r="A20" s="396"/>
      <c r="B20" s="396"/>
      <c r="C20" s="404"/>
      <c r="D20" s="328">
        <v>2200</v>
      </c>
      <c r="E20" s="47">
        <v>0.2</v>
      </c>
      <c r="F20" s="46">
        <f>CEILING(F18*(1+E20), 50)</f>
        <v>25800</v>
      </c>
      <c r="G20" s="46">
        <f t="shared" si="0"/>
        <v>20640</v>
      </c>
      <c r="H20" s="48">
        <f t="shared" si="1"/>
        <v>15738</v>
      </c>
      <c r="I20" s="46">
        <f t="shared" si="2"/>
        <v>14164.2</v>
      </c>
      <c r="J20">
        <v>23850</v>
      </c>
      <c r="K20" s="310">
        <f t="shared" si="3"/>
        <v>8.1761006289308158E-2</v>
      </c>
    </row>
    <row r="21" spans="1:11" ht="25.5" customHeight="1" outlineLevel="1" x14ac:dyDescent="0.3">
      <c r="A21" s="396"/>
      <c r="B21" s="396"/>
      <c r="C21" s="404"/>
      <c r="D21" s="328">
        <v>2300</v>
      </c>
      <c r="E21" s="47">
        <v>0.3</v>
      </c>
      <c r="F21" s="46">
        <f>CEILING(F18*(1+E21), 50)</f>
        <v>27950</v>
      </c>
      <c r="G21" s="46">
        <f t="shared" si="0"/>
        <v>22360</v>
      </c>
      <c r="H21" s="48">
        <f t="shared" si="1"/>
        <v>17049.5</v>
      </c>
      <c r="I21" s="46">
        <f t="shared" si="2"/>
        <v>15344.550000000001</v>
      </c>
      <c r="J21">
        <v>25850</v>
      </c>
      <c r="K21" s="310">
        <f t="shared" si="3"/>
        <v>8.1237911025145104E-2</v>
      </c>
    </row>
    <row r="22" spans="1:11" ht="25.5" customHeight="1" outlineLevel="1" x14ac:dyDescent="0.3">
      <c r="A22" s="396"/>
      <c r="B22" s="396"/>
      <c r="C22" s="404"/>
      <c r="D22" s="328">
        <v>2400</v>
      </c>
      <c r="E22" s="47">
        <v>0.4</v>
      </c>
      <c r="F22" s="46">
        <f>CEILING(F18*(1+E22), 50)</f>
        <v>30100</v>
      </c>
      <c r="G22" s="46">
        <f t="shared" ref="G22" si="5">F22*(1-$G$8)</f>
        <v>24080</v>
      </c>
      <c r="H22" s="73"/>
      <c r="I22" s="74"/>
      <c r="K22" s="310"/>
    </row>
    <row r="23" spans="1:11" ht="15.6" customHeight="1" x14ac:dyDescent="0.3">
      <c r="A23" s="36"/>
      <c r="B23" s="36"/>
      <c r="C23" s="36"/>
      <c r="D23" s="36"/>
      <c r="E23" s="36"/>
      <c r="F23" s="36"/>
      <c r="G23" s="36"/>
    </row>
    <row r="24" spans="1:11" ht="15.6" customHeight="1" x14ac:dyDescent="0.3">
      <c r="A24" s="164" t="s">
        <v>150</v>
      </c>
      <c r="B24" s="36"/>
      <c r="C24" s="36"/>
      <c r="D24" s="36"/>
      <c r="E24" s="36"/>
      <c r="F24" s="36"/>
      <c r="G24" s="36"/>
    </row>
    <row r="25" spans="1:11" ht="15.6" customHeight="1" x14ac:dyDescent="0.3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 x14ac:dyDescent="0.3">
      <c r="A26" s="408" t="s">
        <v>151</v>
      </c>
      <c r="B26" s="409"/>
      <c r="C26" s="409"/>
      <c r="D26" s="409"/>
      <c r="E26" s="409">
        <v>1.1000000000000001</v>
      </c>
      <c r="F26" s="409">
        <v>1.2</v>
      </c>
      <c r="G26" s="410">
        <v>1.45</v>
      </c>
    </row>
    <row r="27" spans="1:11" ht="15.6" customHeight="1" x14ac:dyDescent="0.3">
      <c r="A27" s="436" t="s">
        <v>175</v>
      </c>
      <c r="B27" s="436"/>
      <c r="C27" s="120"/>
      <c r="D27" s="437" t="s">
        <v>144</v>
      </c>
      <c r="E27" s="437"/>
      <c r="F27" s="437"/>
      <c r="G27" s="437"/>
      <c r="H27" s="107"/>
      <c r="I27" s="107"/>
    </row>
    <row r="28" spans="1:11" ht="37.5" customHeight="1" x14ac:dyDescent="0.3">
      <c r="A28" s="436"/>
      <c r="B28" s="436"/>
      <c r="C28" s="326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 x14ac:dyDescent="0.3">
      <c r="A29" s="438" t="s">
        <v>148</v>
      </c>
      <c r="B29" s="438"/>
      <c r="C29" s="50">
        <v>2000</v>
      </c>
      <c r="D29" s="285" t="s">
        <v>368</v>
      </c>
      <c r="E29" s="46">
        <f>'Porte39-00'!E30-'Porte39-00'!D30</f>
        <v>500</v>
      </c>
      <c r="F29" s="46">
        <f>'Porte39-00'!F30-'Porte39-00'!D30</f>
        <v>1550</v>
      </c>
      <c r="G29" s="46">
        <f>'Porte39-00'!G30-'Porte39-00'!D30</f>
        <v>2600</v>
      </c>
      <c r="H29" s="107"/>
      <c r="I29" s="107"/>
    </row>
    <row r="30" spans="1:11" ht="15.6" customHeight="1" outlineLevel="1" x14ac:dyDescent="0.3">
      <c r="A30" s="438"/>
      <c r="B30" s="438"/>
      <c r="C30" s="328">
        <v>2100</v>
      </c>
      <c r="D30" s="285" t="s">
        <v>368</v>
      </c>
      <c r="E30" s="46">
        <f>'Porte39-00'!E31-'Porte39-00'!D31</f>
        <v>550</v>
      </c>
      <c r="F30" s="46">
        <f>'Porte39-00'!F31-'Porte39-00'!D31</f>
        <v>1704.9999999999995</v>
      </c>
      <c r="G30" s="46">
        <f>'Porte39-00'!G31-'Porte39-00'!D31</f>
        <v>2860.0000000000005</v>
      </c>
      <c r="H30" s="107"/>
      <c r="I30" s="107"/>
    </row>
    <row r="31" spans="1:11" ht="15.6" customHeight="1" outlineLevel="1" x14ac:dyDescent="0.3">
      <c r="A31" s="438"/>
      <c r="B31" s="438"/>
      <c r="C31" s="328">
        <v>2200</v>
      </c>
      <c r="D31" s="285" t="s">
        <v>368</v>
      </c>
      <c r="E31" s="46">
        <f>'Porte39-00'!E32-'Porte39-00'!D32</f>
        <v>600</v>
      </c>
      <c r="F31" s="46">
        <f>'Porte39-00'!F32-'Porte39-00'!D32</f>
        <v>1860</v>
      </c>
      <c r="G31" s="46">
        <f>'Porte39-00'!G32-'Porte39-00'!D32</f>
        <v>3120</v>
      </c>
      <c r="H31" s="107"/>
      <c r="I31" s="107"/>
    </row>
    <row r="32" spans="1:11" ht="15.6" customHeight="1" outlineLevel="1" x14ac:dyDescent="0.3">
      <c r="A32" s="438"/>
      <c r="B32" s="438"/>
      <c r="C32" s="328">
        <v>2300</v>
      </c>
      <c r="D32" s="285" t="s">
        <v>368</v>
      </c>
      <c r="E32" s="46">
        <f>'Porte39-00'!E33-'Porte39-00'!D33</f>
        <v>650</v>
      </c>
      <c r="F32" s="46">
        <f>'Porte39-00'!F33-'Porte39-00'!D33</f>
        <v>2015</v>
      </c>
      <c r="G32" s="46">
        <f>'Porte39-00'!G33-'Porte39-00'!D33</f>
        <v>3380</v>
      </c>
      <c r="H32" s="107"/>
      <c r="I32" s="107"/>
    </row>
    <row r="33" spans="1:9" ht="15.6" customHeight="1" outlineLevel="1" x14ac:dyDescent="0.3">
      <c r="A33" s="438"/>
      <c r="B33" s="438"/>
      <c r="C33" s="328">
        <v>2400</v>
      </c>
      <c r="D33" s="285" t="s">
        <v>368</v>
      </c>
      <c r="E33" s="46">
        <f>'Porte39-00'!E34-'Porte39-00'!D34</f>
        <v>700.00000000000045</v>
      </c>
      <c r="F33" s="46">
        <f>'Porte39-00'!F34-'Porte39-00'!D34</f>
        <v>2170.0000000000005</v>
      </c>
      <c r="G33" s="46">
        <f>'Porte39-00'!G34-'Porte39-00'!D34</f>
        <v>3639.9999999999995</v>
      </c>
      <c r="H33" s="107"/>
      <c r="I33" s="107"/>
    </row>
    <row r="34" spans="1:9" ht="15.6" customHeight="1" x14ac:dyDescent="0.3">
      <c r="A34" s="438" t="s">
        <v>149</v>
      </c>
      <c r="B34" s="438"/>
      <c r="C34" s="50">
        <v>2000</v>
      </c>
      <c r="D34" s="46">
        <f>'Porte39-00'!D35-'Porte39-00'!D30</f>
        <v>550</v>
      </c>
      <c r="E34" s="46">
        <f>'Porte39-00'!E35-'Porte39-00'!E30</f>
        <v>550</v>
      </c>
      <c r="F34" s="46">
        <f>'Porte39-00'!F35-'Porte39-00'!F30</f>
        <v>550</v>
      </c>
      <c r="G34" s="46">
        <f>'Porte39-00'!G35-'Porte39-00'!G30</f>
        <v>550</v>
      </c>
      <c r="H34" s="107"/>
      <c r="I34" s="107"/>
    </row>
    <row r="35" spans="1:9" ht="15.6" customHeight="1" outlineLevel="1" x14ac:dyDescent="0.3">
      <c r="A35" s="438"/>
      <c r="B35" s="438"/>
      <c r="C35" s="328">
        <v>2100</v>
      </c>
      <c r="D35" s="46">
        <f>'Porte39-00'!D36-'Porte39-00'!D31</f>
        <v>605</v>
      </c>
      <c r="E35" s="46">
        <f>'Porte39-00'!E36-'Porte39-00'!E31</f>
        <v>605</v>
      </c>
      <c r="F35" s="46">
        <f>'Porte39-00'!F36-'Porte39-00'!F31</f>
        <v>605</v>
      </c>
      <c r="G35" s="46">
        <f>'Porte39-00'!G36-'Porte39-00'!G31</f>
        <v>605</v>
      </c>
      <c r="H35" s="107"/>
      <c r="I35" s="107"/>
    </row>
    <row r="36" spans="1:9" ht="15.6" customHeight="1" outlineLevel="1" x14ac:dyDescent="0.3">
      <c r="A36" s="438"/>
      <c r="B36" s="438"/>
      <c r="C36" s="328">
        <v>2200</v>
      </c>
      <c r="D36" s="46">
        <f>'Porte39-00'!D37-'Porte39-00'!D32</f>
        <v>660</v>
      </c>
      <c r="E36" s="46">
        <f>'Porte39-00'!E37-'Porte39-00'!E32</f>
        <v>660</v>
      </c>
      <c r="F36" s="46">
        <f>'Porte39-00'!F37-'Porte39-00'!F32</f>
        <v>660</v>
      </c>
      <c r="G36" s="46">
        <f>'Porte39-00'!G37-'Porte39-00'!G32</f>
        <v>660</v>
      </c>
      <c r="H36" s="107"/>
      <c r="I36" s="107"/>
    </row>
    <row r="37" spans="1:9" ht="15.6" customHeight="1" outlineLevel="1" x14ac:dyDescent="0.3">
      <c r="A37" s="438"/>
      <c r="B37" s="438"/>
      <c r="C37" s="328">
        <v>2300</v>
      </c>
      <c r="D37" s="46">
        <f>'Porte39-00'!D38-'Porte39-00'!D33</f>
        <v>715</v>
      </c>
      <c r="E37" s="46">
        <f>'Porte39-00'!E38-'Porte39-00'!E33</f>
        <v>715</v>
      </c>
      <c r="F37" s="46">
        <f>'Porte39-00'!F38-'Porte39-00'!F33</f>
        <v>715</v>
      </c>
      <c r="G37" s="46">
        <f>'Porte39-00'!G38-'Porte39-00'!G33</f>
        <v>715</v>
      </c>
      <c r="H37" s="107"/>
      <c r="I37" s="107"/>
    </row>
    <row r="38" spans="1:9" ht="15.6" customHeight="1" outlineLevel="1" x14ac:dyDescent="0.3">
      <c r="A38" s="438"/>
      <c r="B38" s="438"/>
      <c r="C38" s="328">
        <v>2400</v>
      </c>
      <c r="D38" s="46">
        <f>'Porte39-00'!D39-'Porte39-00'!D34</f>
        <v>770.00000000000045</v>
      </c>
      <c r="E38" s="46">
        <f>'Porte39-00'!E39-'Porte39-00'!E34</f>
        <v>770</v>
      </c>
      <c r="F38" s="46">
        <f>'Porte39-00'!F39-'Porte39-00'!F34</f>
        <v>770</v>
      </c>
      <c r="G38" s="46">
        <f>'Porte39-00'!G39-'Porte39-00'!G34</f>
        <v>770</v>
      </c>
      <c r="H38" s="107"/>
      <c r="I38" s="107"/>
    </row>
    <row r="39" spans="1:9" ht="15.6" customHeight="1" x14ac:dyDescent="0.3">
      <c r="A39" s="438" t="s">
        <v>162</v>
      </c>
      <c r="B39" s="438"/>
      <c r="C39" s="50">
        <v>2000</v>
      </c>
      <c r="D39" s="46">
        <f>'Porte39-00'!D40-'Porte39-00'!D30</f>
        <v>1050</v>
      </c>
      <c r="E39" s="46">
        <f>'Porte39-00'!E40-'Porte39-00'!E30</f>
        <v>1050</v>
      </c>
      <c r="F39" s="46">
        <f>'Porte39-00'!F40-'Porte39-00'!F30</f>
        <v>1000</v>
      </c>
      <c r="G39" s="46">
        <f>'Porte39-00'!G40-'Porte39-00'!G30</f>
        <v>1000</v>
      </c>
      <c r="H39" s="107"/>
      <c r="I39" s="107"/>
    </row>
    <row r="40" spans="1:9" ht="15.6" customHeight="1" outlineLevel="1" x14ac:dyDescent="0.3">
      <c r="A40" s="438"/>
      <c r="B40" s="438"/>
      <c r="C40" s="328">
        <v>2100</v>
      </c>
      <c r="D40" s="46">
        <f>'Porte39-00'!D41-'Porte39-00'!D31</f>
        <v>1155</v>
      </c>
      <c r="E40" s="46">
        <f>'Porte39-00'!E41-'Porte39-00'!E31</f>
        <v>1154.9999999999995</v>
      </c>
      <c r="F40" s="46">
        <f>'Porte39-00'!F41-'Porte39-00'!F31</f>
        <v>1100.0000000000009</v>
      </c>
      <c r="G40" s="46">
        <f>'Porte39-00'!G41-'Porte39-00'!G31</f>
        <v>1100</v>
      </c>
    </row>
    <row r="41" spans="1:9" ht="15.6" customHeight="1" outlineLevel="1" x14ac:dyDescent="0.3">
      <c r="A41" s="438"/>
      <c r="B41" s="438"/>
      <c r="C41" s="328">
        <v>2200</v>
      </c>
      <c r="D41" s="46">
        <f>'Porte39-00'!D42-'Porte39-00'!D32</f>
        <v>1260</v>
      </c>
      <c r="E41" s="46">
        <f>'Porte39-00'!E42-'Porte39-00'!E32</f>
        <v>1260</v>
      </c>
      <c r="F41" s="46">
        <f>'Porte39-00'!F42-'Porte39-00'!F32</f>
        <v>1200</v>
      </c>
      <c r="G41" s="46">
        <f>'Porte39-00'!G42-'Porte39-00'!G32</f>
        <v>1200</v>
      </c>
    </row>
    <row r="42" spans="1:9" ht="15.6" customHeight="1" outlineLevel="1" x14ac:dyDescent="0.3">
      <c r="A42" s="438"/>
      <c r="B42" s="438"/>
      <c r="C42" s="328">
        <v>2300</v>
      </c>
      <c r="D42" s="46">
        <f>'Porte39-00'!D43-'Porte39-00'!D33</f>
        <v>1365</v>
      </c>
      <c r="E42" s="46">
        <f>'Porte39-00'!E43-'Porte39-00'!E33</f>
        <v>1365</v>
      </c>
      <c r="F42" s="46">
        <f>'Porte39-00'!F43-'Porte39-00'!F33</f>
        <v>1300</v>
      </c>
      <c r="G42" s="46">
        <f>'Porte39-00'!G43-'Porte39-00'!G33</f>
        <v>1300</v>
      </c>
    </row>
    <row r="43" spans="1:9" ht="15.6" customHeight="1" outlineLevel="1" x14ac:dyDescent="0.3">
      <c r="A43" s="438"/>
      <c r="B43" s="438"/>
      <c r="C43" s="328">
        <v>2400</v>
      </c>
      <c r="D43" s="46">
        <f>'Porte39-00'!D44-'Porte39-00'!D34</f>
        <v>1470.0000000000005</v>
      </c>
      <c r="E43" s="46">
        <f>'Porte39-00'!E44-'Porte39-00'!E34</f>
        <v>1470</v>
      </c>
      <c r="F43" s="46">
        <f>'Porte39-00'!F44-'Porte39-00'!F34</f>
        <v>1399.9999999999991</v>
      </c>
      <c r="G43" s="46">
        <f>'Porte39-00'!G44-'Porte39-00'!G34</f>
        <v>1400.0000000000009</v>
      </c>
    </row>
    <row r="44" spans="1:9" ht="15.6" customHeight="1" x14ac:dyDescent="0.3">
      <c r="A44" s="63"/>
      <c r="B44" s="36"/>
      <c r="C44" s="36"/>
      <c r="D44" s="36"/>
      <c r="E44" s="36"/>
      <c r="F44" s="36"/>
      <c r="G44" s="36"/>
    </row>
    <row r="45" spans="1:9" ht="15.6" customHeight="1" x14ac:dyDescent="0.3">
      <c r="A45" s="408" t="s">
        <v>152</v>
      </c>
      <c r="B45" s="409"/>
      <c r="C45" s="409"/>
      <c r="D45" s="409"/>
      <c r="E45" s="409">
        <v>1.1000000000000001</v>
      </c>
      <c r="F45" s="409">
        <v>1.2</v>
      </c>
      <c r="G45" s="410">
        <v>1.45</v>
      </c>
    </row>
    <row r="46" spans="1:9" ht="15.6" customHeight="1" x14ac:dyDescent="0.3">
      <c r="A46" s="451" t="s">
        <v>83</v>
      </c>
      <c r="B46" s="452"/>
      <c r="C46" s="439" t="s">
        <v>181</v>
      </c>
      <c r="D46" s="440"/>
      <c r="E46" s="440"/>
      <c r="F46" s="440"/>
      <c r="G46" s="440"/>
      <c r="H46" s="107"/>
      <c r="I46" s="107"/>
    </row>
    <row r="47" spans="1:9" ht="41.25" customHeight="1" x14ac:dyDescent="0.3">
      <c r="A47" s="453"/>
      <c r="B47" s="454"/>
      <c r="C47" s="111" t="s">
        <v>66</v>
      </c>
      <c r="D47" s="133" t="s">
        <v>145</v>
      </c>
      <c r="E47" s="133" t="s">
        <v>146</v>
      </c>
      <c r="F47" s="133" t="s">
        <v>415</v>
      </c>
      <c r="G47" s="133" t="s">
        <v>147</v>
      </c>
      <c r="H47" s="107"/>
      <c r="I47" s="107"/>
    </row>
    <row r="48" spans="1:9" ht="50.25" customHeight="1" x14ac:dyDescent="0.3">
      <c r="A48" s="396" t="s">
        <v>182</v>
      </c>
      <c r="B48" s="396"/>
      <c r="C48" s="50">
        <v>2000</v>
      </c>
      <c r="D48" s="285" t="s">
        <v>368</v>
      </c>
      <c r="E48" s="285" t="s">
        <v>368</v>
      </c>
      <c r="F48" s="46">
        <f t="shared" ref="F48:G48" si="6">F29/2</f>
        <v>775</v>
      </c>
      <c r="G48" s="46">
        <f t="shared" si="6"/>
        <v>1300</v>
      </c>
      <c r="H48" s="107"/>
      <c r="I48" s="107"/>
    </row>
    <row r="49" spans="1:15" ht="15.6" customHeight="1" outlineLevel="1" x14ac:dyDescent="0.3">
      <c r="A49" s="396"/>
      <c r="B49" s="396"/>
      <c r="C49" s="328">
        <v>2100</v>
      </c>
      <c r="D49" s="285" t="s">
        <v>368</v>
      </c>
      <c r="E49" s="285" t="s">
        <v>368</v>
      </c>
      <c r="F49" s="46">
        <f t="shared" ref="F49:G49" si="7">F30/2</f>
        <v>852.49999999999977</v>
      </c>
      <c r="G49" s="46">
        <f t="shared" si="7"/>
        <v>1430.0000000000002</v>
      </c>
      <c r="H49" s="107"/>
      <c r="I49" s="107"/>
    </row>
    <row r="50" spans="1:15" ht="15.6" customHeight="1" outlineLevel="1" x14ac:dyDescent="0.3">
      <c r="A50" s="396"/>
      <c r="B50" s="396"/>
      <c r="C50" s="328">
        <v>2200</v>
      </c>
      <c r="D50" s="285" t="s">
        <v>368</v>
      </c>
      <c r="E50" s="285" t="s">
        <v>368</v>
      </c>
      <c r="F50" s="46">
        <f t="shared" ref="F50:G50" si="8">F31/2</f>
        <v>930</v>
      </c>
      <c r="G50" s="46">
        <f t="shared" si="8"/>
        <v>1560</v>
      </c>
      <c r="H50" s="107"/>
      <c r="I50" s="107"/>
    </row>
    <row r="51" spans="1:15" ht="15.6" customHeight="1" outlineLevel="1" x14ac:dyDescent="0.3">
      <c r="A51" s="396"/>
      <c r="B51" s="396"/>
      <c r="C51" s="328">
        <v>2300</v>
      </c>
      <c r="D51" s="285" t="s">
        <v>368</v>
      </c>
      <c r="E51" s="285" t="s">
        <v>368</v>
      </c>
      <c r="F51" s="46">
        <f t="shared" ref="F51:F52" si="9">F32/2</f>
        <v>1007.5</v>
      </c>
      <c r="G51" s="46">
        <f>G32/2</f>
        <v>1690</v>
      </c>
      <c r="H51" s="107"/>
      <c r="I51" s="107"/>
    </row>
    <row r="52" spans="1:15" ht="15.6" customHeight="1" outlineLevel="1" x14ac:dyDescent="0.3">
      <c r="A52" s="396"/>
      <c r="B52" s="396"/>
      <c r="C52" s="328">
        <v>2400</v>
      </c>
      <c r="D52" s="285" t="s">
        <v>368</v>
      </c>
      <c r="E52" s="285" t="s">
        <v>368</v>
      </c>
      <c r="F52" s="46">
        <f t="shared" si="9"/>
        <v>1085.0000000000002</v>
      </c>
      <c r="G52" s="46">
        <f>G33/2</f>
        <v>1819.9999999999998</v>
      </c>
      <c r="H52" s="107"/>
      <c r="I52" s="107"/>
    </row>
    <row r="53" spans="1:15" ht="15.6" customHeight="1" x14ac:dyDescent="0.3">
      <c r="A53" s="121"/>
      <c r="B53" s="121"/>
      <c r="C53" s="122"/>
      <c r="D53" s="110"/>
      <c r="E53" s="74"/>
      <c r="F53" s="74"/>
      <c r="G53" s="74"/>
      <c r="H53" s="107"/>
      <c r="I53" s="107"/>
    </row>
    <row r="54" spans="1:15" ht="15.6" customHeight="1" x14ac:dyDescent="0.3">
      <c r="A54" s="105" t="s">
        <v>142</v>
      </c>
      <c r="B54" s="36"/>
      <c r="C54" s="36"/>
      <c r="D54" s="36"/>
      <c r="E54" s="36"/>
      <c r="F54" s="36"/>
      <c r="G54" s="36"/>
    </row>
    <row r="55" spans="1:15" ht="15.6" customHeight="1" x14ac:dyDescent="0.3">
      <c r="A55" s="284" t="s">
        <v>361</v>
      </c>
      <c r="B55" s="36"/>
      <c r="C55" s="36"/>
      <c r="D55" s="36"/>
      <c r="E55" s="36"/>
      <c r="F55" s="36"/>
      <c r="G55" s="36"/>
    </row>
    <row r="56" spans="1:15" ht="15.6" customHeight="1" x14ac:dyDescent="0.3">
      <c r="A56" s="407" t="s">
        <v>138</v>
      </c>
      <c r="B56" s="407"/>
      <c r="C56" s="407"/>
      <c r="D56" s="407"/>
      <c r="E56" s="407"/>
      <c r="F56" s="407"/>
      <c r="G56" s="407"/>
    </row>
    <row r="57" spans="1:15" ht="15.6" customHeight="1" x14ac:dyDescent="0.3">
      <c r="A57" s="403" t="s">
        <v>84</v>
      </c>
      <c r="B57" s="403"/>
      <c r="C57" s="403" t="s">
        <v>68</v>
      </c>
      <c r="D57" s="403"/>
      <c r="E57" s="403"/>
      <c r="F57" s="403"/>
      <c r="G57" s="403"/>
    </row>
    <row r="58" spans="1:15" ht="24" customHeight="1" x14ac:dyDescent="0.3">
      <c r="A58" s="403"/>
      <c r="B58" s="403"/>
      <c r="C58" s="113" t="s">
        <v>65</v>
      </c>
      <c r="D58" s="113" t="s">
        <v>66</v>
      </c>
      <c r="E58" s="113" t="s">
        <v>166</v>
      </c>
      <c r="F58" s="326" t="s">
        <v>163</v>
      </c>
      <c r="G58" s="113" t="s">
        <v>88</v>
      </c>
    </row>
    <row r="59" spans="1:15" s="49" customFormat="1" ht="27" customHeight="1" x14ac:dyDescent="0.3">
      <c r="A59" s="396" t="s">
        <v>2</v>
      </c>
      <c r="B59" s="325" t="s">
        <v>137</v>
      </c>
      <c r="C59" s="404" t="s">
        <v>67</v>
      </c>
      <c r="D59" s="50">
        <v>2000</v>
      </c>
      <c r="E59" s="48">
        <f>Fusion!E31</f>
        <v>7450</v>
      </c>
      <c r="F59" s="48">
        <f>F13+E59</f>
        <v>26980</v>
      </c>
      <c r="G59" s="48">
        <f>G13+E59</f>
        <v>23074</v>
      </c>
      <c r="J59"/>
      <c r="K59"/>
      <c r="L59"/>
      <c r="M59"/>
      <c r="N59"/>
      <c r="O59"/>
    </row>
    <row r="60" spans="1:15" ht="25.5" customHeight="1" outlineLevel="1" x14ac:dyDescent="0.3">
      <c r="A60" s="396"/>
      <c r="B60" s="402" t="s">
        <v>85</v>
      </c>
      <c r="C60" s="404"/>
      <c r="D60" s="328">
        <v>2100</v>
      </c>
      <c r="E60" s="46">
        <f>Fusion!E32</f>
        <v>8200</v>
      </c>
      <c r="F60" s="46">
        <f t="shared" ref="F60:F68" si="10">F14+E60</f>
        <v>29700</v>
      </c>
      <c r="G60" s="46">
        <f t="shared" ref="G60:G67" si="11">G14+E60</f>
        <v>25400</v>
      </c>
    </row>
    <row r="61" spans="1:15" ht="25.5" customHeight="1" outlineLevel="1" x14ac:dyDescent="0.3">
      <c r="A61" s="396"/>
      <c r="B61" s="402"/>
      <c r="C61" s="404"/>
      <c r="D61" s="328">
        <v>2200</v>
      </c>
      <c r="E61" s="46">
        <f>Fusion!E33</f>
        <v>8200</v>
      </c>
      <c r="F61" s="46">
        <f t="shared" si="10"/>
        <v>31650</v>
      </c>
      <c r="G61" s="46">
        <f t="shared" si="11"/>
        <v>26960</v>
      </c>
    </row>
    <row r="62" spans="1:15" ht="25.5" customHeight="1" outlineLevel="1" x14ac:dyDescent="0.3">
      <c r="A62" s="396"/>
      <c r="B62" s="325" t="s">
        <v>86</v>
      </c>
      <c r="C62" s="404"/>
      <c r="D62" s="328">
        <v>2300</v>
      </c>
      <c r="E62" s="46">
        <f>Fusion!E34</f>
        <v>9100</v>
      </c>
      <c r="F62" s="46">
        <f t="shared" si="10"/>
        <v>34500</v>
      </c>
      <c r="G62" s="46">
        <f t="shared" si="11"/>
        <v>29420</v>
      </c>
    </row>
    <row r="63" spans="1:15" ht="25.5" customHeight="1" outlineLevel="1" x14ac:dyDescent="0.3">
      <c r="A63" s="396"/>
      <c r="B63" s="325" t="s">
        <v>395</v>
      </c>
      <c r="C63" s="404"/>
      <c r="D63" s="328">
        <v>2400</v>
      </c>
      <c r="E63" s="46">
        <f>Fusion!E35</f>
        <v>9700</v>
      </c>
      <c r="F63" s="46">
        <f t="shared" si="10"/>
        <v>37050</v>
      </c>
      <c r="G63" s="46">
        <f t="shared" si="11"/>
        <v>31580</v>
      </c>
    </row>
    <row r="64" spans="1:15" s="49" customFormat="1" ht="27" customHeight="1" x14ac:dyDescent="0.3">
      <c r="A64" s="396"/>
      <c r="B64" s="325" t="s">
        <v>137</v>
      </c>
      <c r="C64" s="404">
        <v>900</v>
      </c>
      <c r="D64" s="50">
        <v>2000</v>
      </c>
      <c r="E64" s="48">
        <f>Fusion!E36</f>
        <v>7450</v>
      </c>
      <c r="F64" s="48">
        <f t="shared" si="10"/>
        <v>28950</v>
      </c>
      <c r="G64" s="48">
        <f t="shared" si="11"/>
        <v>24650</v>
      </c>
      <c r="J64"/>
      <c r="K64"/>
      <c r="L64"/>
      <c r="M64"/>
      <c r="N64"/>
      <c r="O64"/>
    </row>
    <row r="65" spans="1:15" ht="25.5" customHeight="1" outlineLevel="1" x14ac:dyDescent="0.3">
      <c r="A65" s="396"/>
      <c r="B65" s="402" t="s">
        <v>85</v>
      </c>
      <c r="C65" s="404"/>
      <c r="D65" s="328">
        <v>2100</v>
      </c>
      <c r="E65" s="46">
        <f>Fusion!E37</f>
        <v>8200</v>
      </c>
      <c r="F65" s="46">
        <f t="shared" si="10"/>
        <v>31850</v>
      </c>
      <c r="G65" s="46">
        <f t="shared" si="11"/>
        <v>27120</v>
      </c>
    </row>
    <row r="66" spans="1:15" ht="25.5" customHeight="1" outlineLevel="1" x14ac:dyDescent="0.3">
      <c r="A66" s="396"/>
      <c r="B66" s="402"/>
      <c r="C66" s="404"/>
      <c r="D66" s="328">
        <v>2200</v>
      </c>
      <c r="E66" s="46">
        <f>Fusion!E38</f>
        <v>8200</v>
      </c>
      <c r="F66" s="46">
        <f t="shared" si="10"/>
        <v>34000</v>
      </c>
      <c r="G66" s="46">
        <f t="shared" si="11"/>
        <v>28840</v>
      </c>
    </row>
    <row r="67" spans="1:15" ht="25.5" customHeight="1" outlineLevel="1" x14ac:dyDescent="0.3">
      <c r="A67" s="396"/>
      <c r="B67" s="325" t="s">
        <v>86</v>
      </c>
      <c r="C67" s="404"/>
      <c r="D67" s="328">
        <v>2300</v>
      </c>
      <c r="E67" s="46">
        <f>Fusion!E39</f>
        <v>9100</v>
      </c>
      <c r="F67" s="46">
        <f t="shared" si="10"/>
        <v>37050</v>
      </c>
      <c r="G67" s="46">
        <f t="shared" si="11"/>
        <v>31460</v>
      </c>
    </row>
    <row r="68" spans="1:15" ht="25.5" customHeight="1" outlineLevel="1" x14ac:dyDescent="0.3">
      <c r="A68" s="396"/>
      <c r="B68" s="325" t="s">
        <v>395</v>
      </c>
      <c r="C68" s="404"/>
      <c r="D68" s="328">
        <v>2400</v>
      </c>
      <c r="E68" s="46">
        <f>Fusion!E40</f>
        <v>9700</v>
      </c>
      <c r="F68" s="46">
        <f t="shared" si="10"/>
        <v>39800</v>
      </c>
      <c r="G68" s="46">
        <f>G22+E68</f>
        <v>33780</v>
      </c>
    </row>
    <row r="69" spans="1:15" x14ac:dyDescent="0.3">
      <c r="A69" s="412"/>
      <c r="B69" s="412"/>
      <c r="C69" s="37"/>
      <c r="D69" s="54"/>
      <c r="E69" s="457"/>
      <c r="F69" s="457"/>
      <c r="G69" s="457"/>
    </row>
    <row r="70" spans="1:15" ht="15.6" customHeight="1" x14ac:dyDescent="0.3">
      <c r="A70" s="407" t="s">
        <v>164</v>
      </c>
      <c r="B70" s="407"/>
      <c r="C70" s="407"/>
      <c r="D70" s="407"/>
      <c r="E70" s="407"/>
      <c r="F70" s="407"/>
      <c r="G70" s="407"/>
    </row>
    <row r="71" spans="1:15" ht="15.6" customHeight="1" x14ac:dyDescent="0.3">
      <c r="A71" s="403" t="s">
        <v>165</v>
      </c>
      <c r="B71" s="403"/>
      <c r="C71" s="403" t="s">
        <v>68</v>
      </c>
      <c r="D71" s="403"/>
      <c r="E71" s="403"/>
      <c r="F71" s="403"/>
      <c r="G71" s="403"/>
    </row>
    <row r="72" spans="1:15" ht="24" customHeight="1" x14ac:dyDescent="0.3">
      <c r="A72" s="403"/>
      <c r="B72" s="403"/>
      <c r="C72" s="113" t="s">
        <v>65</v>
      </c>
      <c r="D72" s="113" t="s">
        <v>66</v>
      </c>
      <c r="E72" s="113" t="s">
        <v>166</v>
      </c>
      <c r="F72" s="111" t="s">
        <v>87</v>
      </c>
      <c r="G72" s="113" t="s">
        <v>88</v>
      </c>
    </row>
    <row r="73" spans="1:15" s="49" customFormat="1" ht="27" customHeight="1" x14ac:dyDescent="0.3">
      <c r="A73" s="396" t="s">
        <v>2</v>
      </c>
      <c r="B73" s="325" t="s">
        <v>137</v>
      </c>
      <c r="C73" s="404" t="s">
        <v>67</v>
      </c>
      <c r="D73" s="50">
        <v>2000</v>
      </c>
      <c r="E73" s="48">
        <f>Fusion!E45</f>
        <v>9800</v>
      </c>
      <c r="F73" s="48">
        <f>E73+F13</f>
        <v>29330</v>
      </c>
      <c r="G73" s="48">
        <f>E73+G13</f>
        <v>25424</v>
      </c>
      <c r="J73"/>
      <c r="K73"/>
      <c r="L73"/>
      <c r="M73"/>
      <c r="N73"/>
      <c r="O73"/>
    </row>
    <row r="74" spans="1:15" ht="25.5" customHeight="1" outlineLevel="1" x14ac:dyDescent="0.3">
      <c r="A74" s="396"/>
      <c r="B74" s="402" t="s">
        <v>85</v>
      </c>
      <c r="C74" s="404"/>
      <c r="D74" s="328">
        <v>2100</v>
      </c>
      <c r="E74" s="46">
        <f>Fusion!E46</f>
        <v>10800</v>
      </c>
      <c r="F74" s="46">
        <f t="shared" ref="F74:F82" si="12">E74+F14</f>
        <v>32300</v>
      </c>
      <c r="G74" s="46">
        <f t="shared" ref="G74:G82" si="13">E74+G14</f>
        <v>28000</v>
      </c>
    </row>
    <row r="75" spans="1:15" ht="25.5" customHeight="1" outlineLevel="1" x14ac:dyDescent="0.3">
      <c r="A75" s="396"/>
      <c r="B75" s="402"/>
      <c r="C75" s="404"/>
      <c r="D75" s="328">
        <v>2200</v>
      </c>
      <c r="E75" s="46">
        <f>Fusion!E47</f>
        <v>10800</v>
      </c>
      <c r="F75" s="46">
        <f t="shared" si="12"/>
        <v>34250</v>
      </c>
      <c r="G75" s="46">
        <f t="shared" si="13"/>
        <v>29560</v>
      </c>
    </row>
    <row r="76" spans="1:15" ht="25.5" customHeight="1" outlineLevel="1" x14ac:dyDescent="0.3">
      <c r="A76" s="396"/>
      <c r="B76" s="325" t="s">
        <v>86</v>
      </c>
      <c r="C76" s="404"/>
      <c r="D76" s="328">
        <v>2300</v>
      </c>
      <c r="E76" s="46">
        <f>Fusion!E48</f>
        <v>11700</v>
      </c>
      <c r="F76" s="46">
        <f t="shared" si="12"/>
        <v>37100</v>
      </c>
      <c r="G76" s="46">
        <f t="shared" si="13"/>
        <v>32020</v>
      </c>
    </row>
    <row r="77" spans="1:15" ht="25.5" customHeight="1" outlineLevel="1" x14ac:dyDescent="0.3">
      <c r="A77" s="396"/>
      <c r="B77" s="325" t="str">
        <f>B68</f>
        <v>Короб L (В=2700) 
Наличник L 75/10 (В=2700)</v>
      </c>
      <c r="C77" s="404"/>
      <c r="D77" s="328">
        <v>2400</v>
      </c>
      <c r="E77" s="46">
        <f>Fusion!E49</f>
        <v>12775</v>
      </c>
      <c r="F77" s="46">
        <f t="shared" si="12"/>
        <v>40125</v>
      </c>
      <c r="G77" s="46">
        <f t="shared" si="13"/>
        <v>34655</v>
      </c>
    </row>
    <row r="78" spans="1:15" s="49" customFormat="1" ht="27" customHeight="1" x14ac:dyDescent="0.3">
      <c r="A78" s="396"/>
      <c r="B78" s="325" t="s">
        <v>137</v>
      </c>
      <c r="C78" s="404">
        <v>900</v>
      </c>
      <c r="D78" s="50">
        <v>2000</v>
      </c>
      <c r="E78" s="48">
        <f>Fusion!E50</f>
        <v>9800</v>
      </c>
      <c r="F78" s="48">
        <f t="shared" si="12"/>
        <v>31300</v>
      </c>
      <c r="G78" s="48">
        <f t="shared" si="13"/>
        <v>27000</v>
      </c>
      <c r="J78"/>
      <c r="K78"/>
      <c r="L78"/>
      <c r="M78"/>
      <c r="N78"/>
      <c r="O78"/>
    </row>
    <row r="79" spans="1:15" ht="25.5" customHeight="1" outlineLevel="1" x14ac:dyDescent="0.3">
      <c r="A79" s="396"/>
      <c r="B79" s="402" t="s">
        <v>85</v>
      </c>
      <c r="C79" s="404"/>
      <c r="D79" s="328">
        <v>2100</v>
      </c>
      <c r="E79" s="46">
        <f>Fusion!E51</f>
        <v>10800</v>
      </c>
      <c r="F79" s="46">
        <f t="shared" si="12"/>
        <v>34450</v>
      </c>
      <c r="G79" s="46">
        <f t="shared" si="13"/>
        <v>29720</v>
      </c>
    </row>
    <row r="80" spans="1:15" ht="25.5" customHeight="1" outlineLevel="1" x14ac:dyDescent="0.3">
      <c r="A80" s="396"/>
      <c r="B80" s="402"/>
      <c r="C80" s="404"/>
      <c r="D80" s="328">
        <v>2200</v>
      </c>
      <c r="E80" s="46">
        <f>Fusion!E52</f>
        <v>10800</v>
      </c>
      <c r="F80" s="46">
        <f t="shared" si="12"/>
        <v>36600</v>
      </c>
      <c r="G80" s="46">
        <f t="shared" si="13"/>
        <v>31440</v>
      </c>
    </row>
    <row r="81" spans="1:15" ht="25.5" customHeight="1" outlineLevel="1" x14ac:dyDescent="0.3">
      <c r="A81" s="396"/>
      <c r="B81" s="325" t="s">
        <v>86</v>
      </c>
      <c r="C81" s="404"/>
      <c r="D81" s="328">
        <v>2300</v>
      </c>
      <c r="E81" s="46">
        <f>Fusion!E53</f>
        <v>11700</v>
      </c>
      <c r="F81" s="46">
        <f t="shared" si="12"/>
        <v>39650</v>
      </c>
      <c r="G81" s="46">
        <f t="shared" si="13"/>
        <v>34060</v>
      </c>
    </row>
    <row r="82" spans="1:15" ht="25.5" customHeight="1" outlineLevel="1" x14ac:dyDescent="0.3">
      <c r="A82" s="396"/>
      <c r="B82" s="325" t="str">
        <f>B68</f>
        <v>Короб L (В=2700) 
Наличник L 75/10 (В=2700)</v>
      </c>
      <c r="C82" s="404"/>
      <c r="D82" s="328">
        <v>2400</v>
      </c>
      <c r="E82" s="46">
        <f>Fusion!E54</f>
        <v>12775</v>
      </c>
      <c r="F82" s="46">
        <f t="shared" si="12"/>
        <v>42875</v>
      </c>
      <c r="G82" s="46">
        <f t="shared" si="13"/>
        <v>36855</v>
      </c>
    </row>
    <row r="83" spans="1:15" ht="12.75" customHeight="1" x14ac:dyDescent="0.3">
      <c r="A83" s="41"/>
      <c r="B83" s="41"/>
      <c r="C83" s="41"/>
      <c r="D83" s="41"/>
      <c r="E83" s="41"/>
      <c r="F83" s="41"/>
      <c r="G83" s="41"/>
    </row>
    <row r="84" spans="1:15" ht="15.6" customHeight="1" x14ac:dyDescent="0.3">
      <c r="A84" s="407" t="s">
        <v>174</v>
      </c>
      <c r="B84" s="407"/>
      <c r="C84" s="407"/>
      <c r="D84" s="407"/>
      <c r="E84" s="407"/>
      <c r="F84" s="407"/>
      <c r="G84" s="407"/>
    </row>
    <row r="85" spans="1:15" ht="15.6" customHeight="1" x14ac:dyDescent="0.3">
      <c r="A85" s="403" t="s">
        <v>366</v>
      </c>
      <c r="B85" s="403"/>
      <c r="C85" s="403" t="s">
        <v>68</v>
      </c>
      <c r="D85" s="403"/>
      <c r="E85" s="403"/>
      <c r="F85" s="403"/>
      <c r="G85" s="403"/>
    </row>
    <row r="86" spans="1:15" ht="24" customHeight="1" x14ac:dyDescent="0.3">
      <c r="A86" s="403"/>
      <c r="B86" s="403"/>
      <c r="C86" s="113" t="s">
        <v>65</v>
      </c>
      <c r="D86" s="113" t="s">
        <v>66</v>
      </c>
      <c r="E86" s="113" t="s">
        <v>166</v>
      </c>
      <c r="F86" s="111" t="s">
        <v>163</v>
      </c>
      <c r="G86" s="113" t="s">
        <v>88</v>
      </c>
    </row>
    <row r="87" spans="1:15" s="49" customFormat="1" ht="27" customHeight="1" x14ac:dyDescent="0.3">
      <c r="A87" s="396" t="s">
        <v>2</v>
      </c>
      <c r="B87" s="325" t="s">
        <v>365</v>
      </c>
      <c r="C87" s="404" t="s">
        <v>67</v>
      </c>
      <c r="D87" s="50">
        <v>2000</v>
      </c>
      <c r="E87" s="48">
        <f>'Porte39-00'!E79</f>
        <v>13850</v>
      </c>
      <c r="F87" s="48">
        <f>F13+E87+F100+$F$105</f>
        <v>41900</v>
      </c>
      <c r="G87" s="48">
        <f>G13+E87+F100+$F$105</f>
        <v>37994</v>
      </c>
      <c r="J87"/>
      <c r="K87"/>
      <c r="L87"/>
      <c r="M87"/>
      <c r="N87"/>
      <c r="O87"/>
    </row>
    <row r="88" spans="1:15" ht="25.5" customHeight="1" outlineLevel="1" x14ac:dyDescent="0.3">
      <c r="A88" s="396"/>
      <c r="B88" s="402" t="s">
        <v>365</v>
      </c>
      <c r="C88" s="404"/>
      <c r="D88" s="328">
        <v>2100</v>
      </c>
      <c r="E88" s="46">
        <f>'Porte39-00'!E80</f>
        <v>13850</v>
      </c>
      <c r="F88" s="46">
        <f t="shared" ref="F88:F91" si="14">F14+E88+F101+$F$105</f>
        <v>43870</v>
      </c>
      <c r="G88" s="46">
        <f t="shared" ref="G88:G91" si="15">G14+E88+F101+$F$105</f>
        <v>39570</v>
      </c>
    </row>
    <row r="89" spans="1:15" ht="25.5" customHeight="1" outlineLevel="1" x14ac:dyDescent="0.3">
      <c r="A89" s="396"/>
      <c r="B89" s="402"/>
      <c r="C89" s="404"/>
      <c r="D89" s="328">
        <v>2200</v>
      </c>
      <c r="E89" s="46">
        <f>'Porte39-00'!E81</f>
        <v>15125</v>
      </c>
      <c r="F89" s="46">
        <f t="shared" si="14"/>
        <v>47095</v>
      </c>
      <c r="G89" s="46">
        <f t="shared" si="15"/>
        <v>42405</v>
      </c>
    </row>
    <row r="90" spans="1:15" ht="25.5" customHeight="1" outlineLevel="1" x14ac:dyDescent="0.3">
      <c r="A90" s="396"/>
      <c r="B90" s="325" t="s">
        <v>365</v>
      </c>
      <c r="C90" s="404"/>
      <c r="D90" s="328">
        <v>2300</v>
      </c>
      <c r="E90" s="46">
        <f>'Porte39-00'!E82</f>
        <v>15125</v>
      </c>
      <c r="F90" s="46">
        <f t="shared" si="14"/>
        <v>52465</v>
      </c>
      <c r="G90" s="46">
        <f t="shared" si="15"/>
        <v>47385</v>
      </c>
    </row>
    <row r="91" spans="1:15" ht="25.5" customHeight="1" outlineLevel="1" x14ac:dyDescent="0.3">
      <c r="A91" s="396"/>
      <c r="B91" s="325" t="s">
        <v>365</v>
      </c>
      <c r="C91" s="404"/>
      <c r="D91" s="328">
        <v>2400</v>
      </c>
      <c r="E91" s="46">
        <f>'Porte39-00'!E83</f>
        <v>17753</v>
      </c>
      <c r="F91" s="46">
        <f t="shared" si="14"/>
        <v>57043</v>
      </c>
      <c r="G91" s="46">
        <f t="shared" si="15"/>
        <v>51573</v>
      </c>
    </row>
    <row r="92" spans="1:15" s="49" customFormat="1" ht="27" customHeight="1" x14ac:dyDescent="0.3">
      <c r="A92" s="396"/>
      <c r="B92" s="325" t="s">
        <v>365</v>
      </c>
      <c r="C92" s="404">
        <v>900</v>
      </c>
      <c r="D92" s="50">
        <v>2000</v>
      </c>
      <c r="E92" s="48">
        <f>E87</f>
        <v>13850</v>
      </c>
      <c r="F92" s="48">
        <f>F18+E92+F100+$F$105</f>
        <v>43870</v>
      </c>
      <c r="G92" s="48">
        <f>G18+E92+F100+$F$105</f>
        <v>39570</v>
      </c>
      <c r="J92"/>
      <c r="K92"/>
      <c r="L92"/>
      <c r="M92"/>
      <c r="N92"/>
      <c r="O92"/>
    </row>
    <row r="93" spans="1:15" ht="25.5" customHeight="1" outlineLevel="1" x14ac:dyDescent="0.3">
      <c r="A93" s="396"/>
      <c r="B93" s="402" t="s">
        <v>365</v>
      </c>
      <c r="C93" s="404"/>
      <c r="D93" s="328">
        <v>2100</v>
      </c>
      <c r="E93" s="46">
        <f>E88</f>
        <v>13850</v>
      </c>
      <c r="F93" s="46">
        <f t="shared" ref="F93:F96" si="16">F19+E93+F101+$F$105</f>
        <v>46020</v>
      </c>
      <c r="G93" s="46">
        <f t="shared" ref="G93:G96" si="17">G19+E93+F101+$F$105</f>
        <v>41290</v>
      </c>
    </row>
    <row r="94" spans="1:15" ht="25.5" customHeight="1" outlineLevel="1" x14ac:dyDescent="0.3">
      <c r="A94" s="396"/>
      <c r="B94" s="402"/>
      <c r="C94" s="404"/>
      <c r="D94" s="328">
        <v>2200</v>
      </c>
      <c r="E94" s="46">
        <f t="shared" ref="E94:E95" si="18">E89</f>
        <v>15125</v>
      </c>
      <c r="F94" s="46">
        <f t="shared" si="16"/>
        <v>49445</v>
      </c>
      <c r="G94" s="46">
        <f t="shared" si="17"/>
        <v>44285</v>
      </c>
    </row>
    <row r="95" spans="1:15" ht="25.5" customHeight="1" outlineLevel="1" x14ac:dyDescent="0.3">
      <c r="A95" s="396"/>
      <c r="B95" s="325" t="s">
        <v>365</v>
      </c>
      <c r="C95" s="404"/>
      <c r="D95" s="328">
        <v>2300</v>
      </c>
      <c r="E95" s="46">
        <f t="shared" si="18"/>
        <v>15125</v>
      </c>
      <c r="F95" s="46">
        <f t="shared" si="16"/>
        <v>55015</v>
      </c>
      <c r="G95" s="46">
        <f t="shared" si="17"/>
        <v>49425</v>
      </c>
    </row>
    <row r="96" spans="1:15" ht="25.5" customHeight="1" outlineLevel="1" x14ac:dyDescent="0.3">
      <c r="A96" s="396"/>
      <c r="B96" s="325" t="s">
        <v>365</v>
      </c>
      <c r="C96" s="404"/>
      <c r="D96" s="328">
        <v>2400</v>
      </c>
      <c r="E96" s="46">
        <f>E91</f>
        <v>17753</v>
      </c>
      <c r="F96" s="46">
        <f t="shared" si="16"/>
        <v>59793</v>
      </c>
      <c r="G96" s="46">
        <f t="shared" si="17"/>
        <v>53773</v>
      </c>
    </row>
    <row r="97" spans="1:10" x14ac:dyDescent="0.3">
      <c r="A97" s="412"/>
      <c r="B97" s="412"/>
      <c r="C97" s="37"/>
      <c r="D97" s="54"/>
      <c r="E97" s="54"/>
      <c r="F97" s="54"/>
      <c r="G97" s="54"/>
    </row>
    <row r="98" spans="1:10" x14ac:dyDescent="0.3">
      <c r="A98" s="109" t="s">
        <v>384</v>
      </c>
      <c r="B98" s="53"/>
      <c r="C98" s="37"/>
      <c r="D98" s="54"/>
      <c r="E98" s="54"/>
      <c r="F98" s="54"/>
      <c r="G98" s="54"/>
      <c r="H98" s="54"/>
      <c r="I98" s="54"/>
      <c r="J98" s="54"/>
    </row>
    <row r="99" spans="1:10" ht="36.75" customHeight="1" x14ac:dyDescent="0.3">
      <c r="A99" s="417" t="s">
        <v>169</v>
      </c>
      <c r="B99" s="418"/>
      <c r="C99" s="113" t="s">
        <v>173</v>
      </c>
      <c r="D99" s="113" t="s">
        <v>66</v>
      </c>
      <c r="E99" s="113" t="s">
        <v>172</v>
      </c>
      <c r="F99" s="113" t="s">
        <v>108</v>
      </c>
      <c r="G99" s="54"/>
    </row>
    <row r="100" spans="1:10" x14ac:dyDescent="0.3">
      <c r="A100" s="422" t="s">
        <v>168</v>
      </c>
      <c r="B100" s="422" t="s">
        <v>167</v>
      </c>
      <c r="C100" s="425">
        <v>3420</v>
      </c>
      <c r="D100" s="50">
        <v>2000</v>
      </c>
      <c r="E100" s="128">
        <v>2</v>
      </c>
      <c r="F100" s="48">
        <f>$C$100*E100</f>
        <v>6840</v>
      </c>
      <c r="G100" s="54"/>
    </row>
    <row r="101" spans="1:10" x14ac:dyDescent="0.3">
      <c r="A101" s="423"/>
      <c r="B101" s="423"/>
      <c r="C101" s="426"/>
      <c r="D101" s="45">
        <v>2100</v>
      </c>
      <c r="E101" s="128">
        <v>2</v>
      </c>
      <c r="F101" s="46">
        <f t="shared" ref="F101:F104" si="19">$C$100*E101</f>
        <v>6840</v>
      </c>
      <c r="G101" s="54"/>
    </row>
    <row r="102" spans="1:10" x14ac:dyDescent="0.3">
      <c r="A102" s="423"/>
      <c r="B102" s="423"/>
      <c r="C102" s="426"/>
      <c r="D102" s="45">
        <v>2200</v>
      </c>
      <c r="E102" s="128">
        <v>2</v>
      </c>
      <c r="F102" s="46">
        <f t="shared" si="19"/>
        <v>6840</v>
      </c>
      <c r="G102" s="54"/>
    </row>
    <row r="103" spans="1:10" x14ac:dyDescent="0.3">
      <c r="A103" s="423"/>
      <c r="B103" s="423"/>
      <c r="C103" s="426"/>
      <c r="D103" s="45">
        <v>2300</v>
      </c>
      <c r="E103" s="128">
        <v>3</v>
      </c>
      <c r="F103" s="46">
        <f t="shared" si="19"/>
        <v>10260</v>
      </c>
      <c r="G103" s="54"/>
    </row>
    <row r="104" spans="1:10" x14ac:dyDescent="0.3">
      <c r="A104" s="424"/>
      <c r="B104" s="424"/>
      <c r="C104" s="427"/>
      <c r="D104" s="328">
        <v>2400</v>
      </c>
      <c r="E104" s="128">
        <v>3</v>
      </c>
      <c r="F104" s="46">
        <f t="shared" si="19"/>
        <v>10260</v>
      </c>
      <c r="G104" s="327"/>
    </row>
    <row r="105" spans="1:10" ht="27.75" customHeight="1" x14ac:dyDescent="0.3">
      <c r="A105" s="129" t="s">
        <v>170</v>
      </c>
      <c r="B105" s="130" t="s">
        <v>171</v>
      </c>
      <c r="C105" s="131">
        <v>1680</v>
      </c>
      <c r="D105" s="132"/>
      <c r="E105" s="132">
        <v>1</v>
      </c>
      <c r="F105" s="48">
        <f>$C$105*E105</f>
        <v>1680</v>
      </c>
      <c r="G105" s="54"/>
    </row>
    <row r="156" spans="1:7" ht="15" customHeight="1" x14ac:dyDescent="0.3"/>
    <row r="157" spans="1:7" x14ac:dyDescent="0.3">
      <c r="A157" s="39"/>
      <c r="B157" s="39"/>
    </row>
    <row r="158" spans="1:7" x14ac:dyDescent="0.3">
      <c r="B158" s="39"/>
      <c r="C158" s="40"/>
      <c r="D158" s="40"/>
      <c r="E158" s="40"/>
      <c r="F158" s="40"/>
      <c r="G158" s="40"/>
    </row>
    <row r="159" spans="1:7" x14ac:dyDescent="0.3">
      <c r="A159" s="39"/>
      <c r="B159" s="39"/>
    </row>
    <row r="160" spans="1:7" x14ac:dyDescent="0.3">
      <c r="A160" s="39"/>
      <c r="B160" s="39"/>
    </row>
    <row r="161" spans="1:2" x14ac:dyDescent="0.3">
      <c r="A161" s="39"/>
      <c r="B161" s="39"/>
    </row>
    <row r="162" spans="1:2" x14ac:dyDescent="0.3">
      <c r="A162" s="39"/>
      <c r="B162" s="39"/>
    </row>
    <row r="163" spans="1:2" x14ac:dyDescent="0.3">
      <c r="A163" s="39"/>
      <c r="B163" s="39"/>
    </row>
    <row r="164" spans="1:2" x14ac:dyDescent="0.3">
      <c r="A164" s="39"/>
      <c r="B164" s="39"/>
    </row>
    <row r="165" spans="1:2" x14ac:dyDescent="0.3">
      <c r="A165" s="39"/>
      <c r="B165" s="39"/>
    </row>
    <row r="166" spans="1:2" x14ac:dyDescent="0.3">
      <c r="A166" s="39"/>
      <c r="B166" s="39"/>
    </row>
    <row r="167" spans="1:2" x14ac:dyDescent="0.3">
      <c r="A167" s="39"/>
      <c r="B167" s="39"/>
    </row>
    <row r="168" spans="1:2" x14ac:dyDescent="0.3">
      <c r="A168" s="39"/>
      <c r="B168" s="39"/>
    </row>
    <row r="169" spans="1:2" x14ac:dyDescent="0.3">
      <c r="A169" s="39"/>
      <c r="B169" s="39"/>
    </row>
    <row r="170" spans="1:2" x14ac:dyDescent="0.3">
      <c r="A170" s="39"/>
      <c r="B170" s="39"/>
    </row>
    <row r="171" spans="1:2" x14ac:dyDescent="0.3">
      <c r="A171" s="39"/>
      <c r="B171" s="39"/>
    </row>
    <row r="172" spans="1:2" x14ac:dyDescent="0.3">
      <c r="A172" s="39"/>
      <c r="B172" s="39"/>
    </row>
    <row r="173" spans="1:2" x14ac:dyDescent="0.3">
      <c r="A173" s="39"/>
      <c r="B173" s="39"/>
    </row>
    <row r="174" spans="1:2" x14ac:dyDescent="0.3">
      <c r="A174" s="39"/>
      <c r="B174" s="39"/>
    </row>
    <row r="175" spans="1:2" x14ac:dyDescent="0.3">
      <c r="A175" s="39"/>
      <c r="B175" s="39"/>
    </row>
    <row r="176" spans="1:2" x14ac:dyDescent="0.3">
      <c r="A176" s="39"/>
      <c r="B176" s="39"/>
    </row>
    <row r="177" spans="1:2" x14ac:dyDescent="0.3">
      <c r="A177" s="39"/>
      <c r="B177" s="39"/>
    </row>
    <row r="178" spans="1:2" x14ac:dyDescent="0.3">
      <c r="A178" s="39"/>
      <c r="B178" s="39"/>
    </row>
    <row r="179" spans="1:2" x14ac:dyDescent="0.3">
      <c r="A179" s="39"/>
      <c r="B179" s="39"/>
    </row>
    <row r="180" spans="1:2" x14ac:dyDescent="0.3">
      <c r="A180" s="39"/>
      <c r="B180" s="39"/>
    </row>
  </sheetData>
  <mergeCells count="49">
    <mergeCell ref="A13:B22"/>
    <mergeCell ref="C13:C17"/>
    <mergeCell ref="C18:C22"/>
    <mergeCell ref="A45:G45"/>
    <mergeCell ref="A46:B47"/>
    <mergeCell ref="C46:G46"/>
    <mergeCell ref="A26:G26"/>
    <mergeCell ref="A27:B28"/>
    <mergeCell ref="D27:G27"/>
    <mergeCell ref="A29:B33"/>
    <mergeCell ref="A34:B38"/>
    <mergeCell ref="A39:B43"/>
    <mergeCell ref="A3:G3"/>
    <mergeCell ref="A4:G4"/>
    <mergeCell ref="A10:G10"/>
    <mergeCell ref="A11:B12"/>
    <mergeCell ref="C11:F11"/>
    <mergeCell ref="A56:G56"/>
    <mergeCell ref="A57:B58"/>
    <mergeCell ref="C57:G57"/>
    <mergeCell ref="A48:B52"/>
    <mergeCell ref="B60:B61"/>
    <mergeCell ref="B65:B66"/>
    <mergeCell ref="A59:A68"/>
    <mergeCell ref="C59:C63"/>
    <mergeCell ref="C64:C68"/>
    <mergeCell ref="B74:B75"/>
    <mergeCell ref="E69:G69"/>
    <mergeCell ref="A70:G70"/>
    <mergeCell ref="A71:B72"/>
    <mergeCell ref="C71:G71"/>
    <mergeCell ref="A84:G84"/>
    <mergeCell ref="B79:B80"/>
    <mergeCell ref="A73:A82"/>
    <mergeCell ref="C73:C77"/>
    <mergeCell ref="C78:C82"/>
    <mergeCell ref="A69:B69"/>
    <mergeCell ref="A85:B86"/>
    <mergeCell ref="C85:G85"/>
    <mergeCell ref="B88:B89"/>
    <mergeCell ref="B93:B94"/>
    <mergeCell ref="A87:A96"/>
    <mergeCell ref="C92:C96"/>
    <mergeCell ref="C87:C91"/>
    <mergeCell ref="A97:B97"/>
    <mergeCell ref="A99:B99"/>
    <mergeCell ref="A100:A104"/>
    <mergeCell ref="B100:B104"/>
    <mergeCell ref="C100:C104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53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1"/>
  <sheetViews>
    <sheetView view="pageBreakPreview" topLeftCell="A64" zoomScaleNormal="100" zoomScaleSheetLayoutView="100" workbookViewId="0">
      <selection activeCell="E79" sqref="E79:E82"/>
    </sheetView>
  </sheetViews>
  <sheetFormatPr defaultRowHeight="14.4" outlineLevelRow="1" outlineLevelCol="1" x14ac:dyDescent="0.3"/>
  <cols>
    <col min="1" max="1" width="11.6640625" customWidth="1"/>
    <col min="2" max="2" width="24" bestFit="1" customWidth="1"/>
    <col min="3" max="7" width="12.6640625" customWidth="1"/>
    <col min="8" max="8" width="9.109375" hidden="1" customWidth="1" outlineLevel="1"/>
    <col min="9" max="9" width="11.44140625" hidden="1" customWidth="1" outlineLevel="1"/>
    <col min="10" max="11" width="0" hidden="1" customWidth="1"/>
  </cols>
  <sheetData>
    <row r="1" spans="1:11" s="58" customFormat="1" ht="18.75" customHeight="1" x14ac:dyDescent="0.3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 x14ac:dyDescent="0.3">
      <c r="A2" s="91"/>
      <c r="B2" s="57"/>
      <c r="C2" s="57"/>
      <c r="D2" s="57"/>
      <c r="E2" s="57"/>
      <c r="F2"/>
      <c r="G2"/>
    </row>
    <row r="3" spans="1:11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1" ht="17.399999999999999" x14ac:dyDescent="0.3">
      <c r="A4" s="397" t="s">
        <v>60</v>
      </c>
      <c r="B4" s="397"/>
      <c r="C4" s="397"/>
      <c r="D4" s="397"/>
      <c r="E4" s="397"/>
      <c r="F4" s="397"/>
      <c r="G4" s="397"/>
    </row>
    <row r="5" spans="1:11" ht="9" customHeight="1" x14ac:dyDescent="0.3">
      <c r="A5" s="33"/>
      <c r="B5" s="33"/>
      <c r="C5" s="33"/>
      <c r="D5" s="33"/>
      <c r="E5" s="33"/>
      <c r="F5" s="33"/>
      <c r="G5" s="33"/>
    </row>
    <row r="6" spans="1:11" ht="9" customHeight="1" x14ac:dyDescent="0.3">
      <c r="A6" s="33"/>
      <c r="B6" s="33"/>
      <c r="C6" s="33"/>
      <c r="D6" s="33"/>
      <c r="E6" s="33"/>
      <c r="F6" s="33"/>
      <c r="G6" s="33"/>
    </row>
    <row r="7" spans="1:11" ht="144" customHeight="1" x14ac:dyDescent="0.3">
      <c r="C7" s="1"/>
      <c r="D7" s="1"/>
      <c r="E7" s="1"/>
      <c r="F7" s="1"/>
      <c r="G7" s="1"/>
    </row>
    <row r="8" spans="1:11" ht="20.25" customHeight="1" x14ac:dyDescent="0.3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 x14ac:dyDescent="0.3">
      <c r="A9" s="36"/>
      <c r="B9" s="36"/>
      <c r="C9" s="36"/>
      <c r="D9" s="36"/>
      <c r="E9" s="36"/>
      <c r="F9" s="36"/>
      <c r="G9" s="36"/>
    </row>
    <row r="10" spans="1:11" ht="15.6" customHeight="1" x14ac:dyDescent="0.3">
      <c r="A10" s="408" t="s">
        <v>136</v>
      </c>
      <c r="B10" s="409"/>
      <c r="C10" s="409"/>
      <c r="D10" s="409"/>
      <c r="E10" s="409"/>
      <c r="F10" s="409"/>
      <c r="G10" s="410"/>
    </row>
    <row r="11" spans="1:11" ht="15.6" customHeight="1" x14ac:dyDescent="0.3">
      <c r="A11" s="403" t="s">
        <v>83</v>
      </c>
      <c r="B11" s="403"/>
      <c r="C11" s="405" t="s">
        <v>68</v>
      </c>
      <c r="D11" s="406"/>
      <c r="E11" s="406"/>
      <c r="F11" s="406"/>
      <c r="G11" s="126"/>
    </row>
    <row r="12" spans="1:11" x14ac:dyDescent="0.3">
      <c r="A12" s="403"/>
      <c r="B12" s="403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 x14ac:dyDescent="0.3">
      <c r="A13" s="396" t="s">
        <v>180</v>
      </c>
      <c r="B13" s="396"/>
      <c r="C13" s="404" t="s">
        <v>67</v>
      </c>
      <c r="D13" s="50">
        <v>2000</v>
      </c>
      <c r="E13" s="50" t="s">
        <v>70</v>
      </c>
      <c r="F13" s="48">
        <f>база!F19</f>
        <v>20530</v>
      </c>
      <c r="G13" s="48">
        <f>F13*(1-$G$8)</f>
        <v>16424</v>
      </c>
      <c r="H13" s="48">
        <f>F13*0.61</f>
        <v>12523.3</v>
      </c>
      <c r="I13" s="48">
        <f>H13*(1-$I$8)</f>
        <v>11270.97</v>
      </c>
      <c r="J13" s="49">
        <v>19020</v>
      </c>
      <c r="K13" s="310">
        <f>F13/J13-1</f>
        <v>7.9390115667718142E-2</v>
      </c>
    </row>
    <row r="14" spans="1:11" ht="25.5" customHeight="1" outlineLevel="1" x14ac:dyDescent="0.3">
      <c r="A14" s="396"/>
      <c r="B14" s="396"/>
      <c r="C14" s="404"/>
      <c r="D14" s="328">
        <v>2100</v>
      </c>
      <c r="E14" s="47">
        <v>0.1</v>
      </c>
      <c r="F14" s="46">
        <f>CEILING(F13*(1+E14), 50)</f>
        <v>22600</v>
      </c>
      <c r="G14" s="46">
        <f t="shared" ref="G14:G21" si="0">F14*(1-$G$8)</f>
        <v>18080</v>
      </c>
      <c r="H14" s="48">
        <f t="shared" ref="H14:H21" si="1">F14*0.61</f>
        <v>13786</v>
      </c>
      <c r="I14" s="46">
        <f t="shared" ref="I14:I21" si="2">H14*(1-$I$8)</f>
        <v>12407.4</v>
      </c>
      <c r="J14">
        <v>20950</v>
      </c>
      <c r="K14" s="310">
        <f t="shared" ref="K14:K21" si="3">F14/J14-1</f>
        <v>7.8758949880668228E-2</v>
      </c>
    </row>
    <row r="15" spans="1:11" ht="25.5" customHeight="1" outlineLevel="1" x14ac:dyDescent="0.3">
      <c r="A15" s="396"/>
      <c r="B15" s="396"/>
      <c r="C15" s="404"/>
      <c r="D15" s="328">
        <v>2200</v>
      </c>
      <c r="E15" s="47">
        <v>0.2</v>
      </c>
      <c r="F15" s="46">
        <f>CEILING(F13*(1+E15), 50)</f>
        <v>24650</v>
      </c>
      <c r="G15" s="46">
        <f t="shared" si="0"/>
        <v>19720</v>
      </c>
      <c r="H15" s="48">
        <f t="shared" si="1"/>
        <v>15036.5</v>
      </c>
      <c r="I15" s="46">
        <f t="shared" si="2"/>
        <v>13532.85</v>
      </c>
      <c r="J15">
        <v>22850</v>
      </c>
      <c r="K15" s="310">
        <f t="shared" si="3"/>
        <v>7.8774617067833619E-2</v>
      </c>
    </row>
    <row r="16" spans="1:11" ht="25.5" customHeight="1" outlineLevel="1" x14ac:dyDescent="0.3">
      <c r="A16" s="396"/>
      <c r="B16" s="396"/>
      <c r="C16" s="404"/>
      <c r="D16" s="328">
        <v>2300</v>
      </c>
      <c r="E16" s="47">
        <v>0.3</v>
      </c>
      <c r="F16" s="46">
        <f>CEILING(F13*(1+E16), 50)</f>
        <v>26700</v>
      </c>
      <c r="G16" s="46">
        <f t="shared" si="0"/>
        <v>21360</v>
      </c>
      <c r="H16" s="48">
        <f t="shared" si="1"/>
        <v>16287</v>
      </c>
      <c r="I16" s="46">
        <f t="shared" si="2"/>
        <v>14658.300000000001</v>
      </c>
      <c r="J16">
        <v>24750</v>
      </c>
      <c r="K16" s="310">
        <f t="shared" si="3"/>
        <v>7.8787878787878851E-2</v>
      </c>
    </row>
    <row r="17" spans="1:11" ht="25.5" customHeight="1" outlineLevel="1" x14ac:dyDescent="0.3">
      <c r="A17" s="396"/>
      <c r="B17" s="396"/>
      <c r="C17" s="404"/>
      <c r="D17" s="328">
        <v>2400</v>
      </c>
      <c r="E17" s="47">
        <v>0.4</v>
      </c>
      <c r="F17" s="46">
        <f>CEILING(F13*(1+E17), 50)</f>
        <v>28750</v>
      </c>
      <c r="G17" s="46">
        <f t="shared" ref="G17" si="4">F17*(1-$G$8)</f>
        <v>23000</v>
      </c>
      <c r="H17" s="48"/>
      <c r="I17" s="46"/>
      <c r="K17" s="310"/>
    </row>
    <row r="18" spans="1:11" s="49" customFormat="1" ht="27" customHeight="1" x14ac:dyDescent="0.3">
      <c r="A18" s="396"/>
      <c r="B18" s="396"/>
      <c r="C18" s="404">
        <v>900</v>
      </c>
      <c r="D18" s="50">
        <v>2000</v>
      </c>
      <c r="E18" s="50" t="s">
        <v>70</v>
      </c>
      <c r="F18" s="48">
        <f>CEILING(F13*(1+10%), 50)</f>
        <v>22600</v>
      </c>
      <c r="G18" s="48">
        <f t="shared" si="0"/>
        <v>18080</v>
      </c>
      <c r="H18" s="48">
        <f t="shared" si="1"/>
        <v>13786</v>
      </c>
      <c r="I18" s="48">
        <f t="shared" si="2"/>
        <v>12407.4</v>
      </c>
      <c r="J18" s="49">
        <v>20950</v>
      </c>
      <c r="K18" s="310">
        <f t="shared" si="3"/>
        <v>7.8758949880668228E-2</v>
      </c>
    </row>
    <row r="19" spans="1:11" ht="25.5" customHeight="1" outlineLevel="1" x14ac:dyDescent="0.3">
      <c r="A19" s="396"/>
      <c r="B19" s="396"/>
      <c r="C19" s="404"/>
      <c r="D19" s="328">
        <v>2100</v>
      </c>
      <c r="E19" s="47">
        <v>0.1</v>
      </c>
      <c r="F19" s="46">
        <f>CEILING(F18*(1+E19), 50)</f>
        <v>24900</v>
      </c>
      <c r="G19" s="46">
        <f t="shared" si="0"/>
        <v>19920</v>
      </c>
      <c r="H19" s="48">
        <f t="shared" si="1"/>
        <v>15189</v>
      </c>
      <c r="I19" s="46">
        <f t="shared" si="2"/>
        <v>13670.1</v>
      </c>
      <c r="J19">
        <v>23050</v>
      </c>
      <c r="K19" s="310">
        <f t="shared" si="3"/>
        <v>8.0260303687635481E-2</v>
      </c>
    </row>
    <row r="20" spans="1:11" ht="25.5" customHeight="1" outlineLevel="1" x14ac:dyDescent="0.3">
      <c r="A20" s="396"/>
      <c r="B20" s="396"/>
      <c r="C20" s="404"/>
      <c r="D20" s="328">
        <v>2200</v>
      </c>
      <c r="E20" s="47">
        <v>0.2</v>
      </c>
      <c r="F20" s="46">
        <f>CEILING(F18*(1+E20), 50)</f>
        <v>27150</v>
      </c>
      <c r="G20" s="46">
        <f t="shared" si="0"/>
        <v>21720</v>
      </c>
      <c r="H20" s="48">
        <f t="shared" si="1"/>
        <v>16561.5</v>
      </c>
      <c r="I20" s="46">
        <f t="shared" si="2"/>
        <v>14905.35</v>
      </c>
      <c r="J20">
        <v>25150</v>
      </c>
      <c r="K20" s="310">
        <f t="shared" si="3"/>
        <v>7.9522862823061535E-2</v>
      </c>
    </row>
    <row r="21" spans="1:11" ht="25.5" customHeight="1" outlineLevel="1" x14ac:dyDescent="0.3">
      <c r="A21" s="396"/>
      <c r="B21" s="396"/>
      <c r="C21" s="404"/>
      <c r="D21" s="328">
        <v>2300</v>
      </c>
      <c r="E21" s="47">
        <v>0.3</v>
      </c>
      <c r="F21" s="46">
        <f>CEILING(F18*(1+E21), 50)</f>
        <v>29400</v>
      </c>
      <c r="G21" s="46">
        <f t="shared" si="0"/>
        <v>23520</v>
      </c>
      <c r="H21" s="48">
        <f t="shared" si="1"/>
        <v>17934</v>
      </c>
      <c r="I21" s="46">
        <f t="shared" si="2"/>
        <v>16140.6</v>
      </c>
      <c r="J21">
        <v>27250</v>
      </c>
      <c r="K21" s="310">
        <f t="shared" si="3"/>
        <v>7.8899082568807399E-2</v>
      </c>
    </row>
    <row r="22" spans="1:11" ht="25.5" customHeight="1" outlineLevel="1" x14ac:dyDescent="0.3">
      <c r="A22" s="396"/>
      <c r="B22" s="396"/>
      <c r="C22" s="404"/>
      <c r="D22" s="328">
        <v>2400</v>
      </c>
      <c r="E22" s="47">
        <v>0.4</v>
      </c>
      <c r="F22" s="46">
        <f>CEILING(F18*(1+E22), 50)</f>
        <v>31650</v>
      </c>
      <c r="G22" s="46">
        <f t="shared" ref="G22" si="5">F22*(1-$G$8)</f>
        <v>25320</v>
      </c>
      <c r="H22" s="73"/>
      <c r="I22" s="74"/>
      <c r="K22" s="310"/>
    </row>
    <row r="23" spans="1:11" ht="15.6" customHeight="1" x14ac:dyDescent="0.3">
      <c r="A23" s="36"/>
      <c r="B23" s="36"/>
      <c r="C23" s="36"/>
      <c r="D23" s="36"/>
      <c r="E23" s="36"/>
      <c r="F23" s="36"/>
      <c r="G23" s="36"/>
    </row>
    <row r="24" spans="1:11" ht="15.6" customHeight="1" x14ac:dyDescent="0.3">
      <c r="A24" s="164" t="s">
        <v>150</v>
      </c>
      <c r="B24" s="36"/>
      <c r="C24" s="36"/>
      <c r="D24" s="36"/>
      <c r="E24" s="36"/>
      <c r="F24" s="36"/>
      <c r="G24" s="36"/>
    </row>
    <row r="25" spans="1:11" ht="15.6" customHeight="1" x14ac:dyDescent="0.3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 x14ac:dyDescent="0.3">
      <c r="A26" s="408" t="s">
        <v>151</v>
      </c>
      <c r="B26" s="409"/>
      <c r="C26" s="409"/>
      <c r="D26" s="409"/>
      <c r="E26" s="409">
        <v>1.1000000000000001</v>
      </c>
      <c r="F26" s="409">
        <v>1.2</v>
      </c>
      <c r="G26" s="410">
        <v>1.45</v>
      </c>
    </row>
    <row r="27" spans="1:11" ht="15.6" customHeight="1" x14ac:dyDescent="0.3">
      <c r="A27" s="436" t="s">
        <v>175</v>
      </c>
      <c r="B27" s="436"/>
      <c r="C27" s="120"/>
      <c r="D27" s="437" t="s">
        <v>144</v>
      </c>
      <c r="E27" s="437"/>
      <c r="F27" s="437"/>
      <c r="G27" s="437"/>
      <c r="H27" s="107"/>
      <c r="I27" s="107"/>
    </row>
    <row r="28" spans="1:11" ht="36" customHeight="1" x14ac:dyDescent="0.3">
      <c r="A28" s="436"/>
      <c r="B28" s="436"/>
      <c r="C28" s="111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 x14ac:dyDescent="0.3">
      <c r="A29" s="438" t="s">
        <v>148</v>
      </c>
      <c r="B29" s="438"/>
      <c r="C29" s="50">
        <v>2000</v>
      </c>
      <c r="D29" s="46" t="str">
        <f>Slot!D29</f>
        <v>˅</v>
      </c>
      <c r="E29" s="46">
        <f>Slot!E29</f>
        <v>500</v>
      </c>
      <c r="F29" s="46">
        <f>Slot!F29</f>
        <v>1550</v>
      </c>
      <c r="G29" s="46">
        <f>Slot!G29</f>
        <v>2600</v>
      </c>
      <c r="H29" s="107"/>
      <c r="I29" s="107"/>
    </row>
    <row r="30" spans="1:11" ht="15.6" customHeight="1" outlineLevel="1" x14ac:dyDescent="0.3">
      <c r="A30" s="438"/>
      <c r="B30" s="438"/>
      <c r="C30" s="328">
        <v>2100</v>
      </c>
      <c r="D30" s="46" t="str">
        <f>Slot!D30</f>
        <v>˅</v>
      </c>
      <c r="E30" s="46">
        <f>Slot!E30</f>
        <v>550</v>
      </c>
      <c r="F30" s="46">
        <f>Slot!F30</f>
        <v>1704.9999999999995</v>
      </c>
      <c r="G30" s="46">
        <f>Slot!G30</f>
        <v>2860.0000000000005</v>
      </c>
      <c r="H30" s="107"/>
      <c r="I30" s="107"/>
    </row>
    <row r="31" spans="1:11" ht="15.6" customHeight="1" outlineLevel="1" x14ac:dyDescent="0.3">
      <c r="A31" s="438"/>
      <c r="B31" s="438"/>
      <c r="C31" s="328">
        <v>2200</v>
      </c>
      <c r="D31" s="46" t="str">
        <f>Slot!D31</f>
        <v>˅</v>
      </c>
      <c r="E31" s="46">
        <f>Slot!E31</f>
        <v>600</v>
      </c>
      <c r="F31" s="46">
        <f>Slot!F31</f>
        <v>1860</v>
      </c>
      <c r="G31" s="46">
        <f>Slot!G31</f>
        <v>3120</v>
      </c>
      <c r="H31" s="107"/>
      <c r="I31" s="107"/>
    </row>
    <row r="32" spans="1:11" ht="15.6" customHeight="1" outlineLevel="1" x14ac:dyDescent="0.3">
      <c r="A32" s="438"/>
      <c r="B32" s="438"/>
      <c r="C32" s="328">
        <v>2300</v>
      </c>
      <c r="D32" s="46" t="str">
        <f>Slot!D32</f>
        <v>˅</v>
      </c>
      <c r="E32" s="46">
        <f>Slot!E32</f>
        <v>650</v>
      </c>
      <c r="F32" s="46">
        <f>Slot!F32</f>
        <v>2015</v>
      </c>
      <c r="G32" s="46">
        <f>Slot!G32</f>
        <v>3380</v>
      </c>
      <c r="H32" s="107"/>
      <c r="I32" s="107"/>
    </row>
    <row r="33" spans="1:9" ht="15.6" customHeight="1" outlineLevel="1" x14ac:dyDescent="0.3">
      <c r="A33" s="438"/>
      <c r="B33" s="438"/>
      <c r="C33" s="328">
        <v>2400</v>
      </c>
      <c r="D33" s="46" t="str">
        <f>Slot!D33</f>
        <v>˅</v>
      </c>
      <c r="E33" s="46">
        <f>Slot!E33</f>
        <v>700.00000000000045</v>
      </c>
      <c r="F33" s="46">
        <f>Slot!F33</f>
        <v>2170.0000000000005</v>
      </c>
      <c r="G33" s="46">
        <f>Slot!G33</f>
        <v>3639.9999999999995</v>
      </c>
      <c r="H33" s="107"/>
      <c r="I33" s="107"/>
    </row>
    <row r="34" spans="1:9" ht="15.6" customHeight="1" x14ac:dyDescent="0.3">
      <c r="A34" s="438" t="s">
        <v>149</v>
      </c>
      <c r="B34" s="438"/>
      <c r="C34" s="50">
        <v>2000</v>
      </c>
      <c r="D34" s="46">
        <f>Slot!D34</f>
        <v>550</v>
      </c>
      <c r="E34" s="46">
        <f>Slot!E34</f>
        <v>550</v>
      </c>
      <c r="F34" s="46">
        <f>Slot!F34</f>
        <v>550</v>
      </c>
      <c r="G34" s="46">
        <f>Slot!G34</f>
        <v>550</v>
      </c>
      <c r="H34" s="107"/>
      <c r="I34" s="107"/>
    </row>
    <row r="35" spans="1:9" ht="15.6" customHeight="1" outlineLevel="1" x14ac:dyDescent="0.3">
      <c r="A35" s="438"/>
      <c r="B35" s="438"/>
      <c r="C35" s="328">
        <v>2100</v>
      </c>
      <c r="D35" s="46">
        <f>Slot!D35</f>
        <v>605</v>
      </c>
      <c r="E35" s="46">
        <f>Slot!E35</f>
        <v>605</v>
      </c>
      <c r="F35" s="46">
        <f>Slot!F35</f>
        <v>605</v>
      </c>
      <c r="G35" s="46">
        <f>Slot!G35</f>
        <v>605</v>
      </c>
      <c r="H35" s="107"/>
      <c r="I35" s="107"/>
    </row>
    <row r="36" spans="1:9" ht="15.6" customHeight="1" outlineLevel="1" x14ac:dyDescent="0.3">
      <c r="A36" s="438"/>
      <c r="B36" s="438"/>
      <c r="C36" s="328">
        <v>2200</v>
      </c>
      <c r="D36" s="46">
        <f>Slot!D36</f>
        <v>660</v>
      </c>
      <c r="E36" s="46">
        <f>Slot!E36</f>
        <v>660</v>
      </c>
      <c r="F36" s="46">
        <f>Slot!F36</f>
        <v>660</v>
      </c>
      <c r="G36" s="46">
        <f>Slot!G36</f>
        <v>660</v>
      </c>
      <c r="H36" s="107"/>
      <c r="I36" s="107"/>
    </row>
    <row r="37" spans="1:9" ht="15.6" customHeight="1" outlineLevel="1" x14ac:dyDescent="0.3">
      <c r="A37" s="438"/>
      <c r="B37" s="438"/>
      <c r="C37" s="328">
        <v>2300</v>
      </c>
      <c r="D37" s="46">
        <f>Slot!D37</f>
        <v>715</v>
      </c>
      <c r="E37" s="46">
        <f>Slot!E37</f>
        <v>715</v>
      </c>
      <c r="F37" s="46">
        <f>Slot!F37</f>
        <v>715</v>
      </c>
      <c r="G37" s="46">
        <f>Slot!G37</f>
        <v>715</v>
      </c>
      <c r="H37" s="107"/>
      <c r="I37" s="107"/>
    </row>
    <row r="38" spans="1:9" ht="15.6" customHeight="1" outlineLevel="1" x14ac:dyDescent="0.3">
      <c r="A38" s="438"/>
      <c r="B38" s="438"/>
      <c r="C38" s="328">
        <v>2400</v>
      </c>
      <c r="D38" s="46">
        <f>Slot!D38</f>
        <v>770.00000000000045</v>
      </c>
      <c r="E38" s="46">
        <f>Slot!E38</f>
        <v>770</v>
      </c>
      <c r="F38" s="46">
        <f>Slot!F38</f>
        <v>770</v>
      </c>
      <c r="G38" s="46">
        <f>Slot!G38</f>
        <v>770</v>
      </c>
      <c r="H38" s="107"/>
      <c r="I38" s="107"/>
    </row>
    <row r="39" spans="1:9" ht="15.6" customHeight="1" x14ac:dyDescent="0.3">
      <c r="A39" s="438" t="s">
        <v>162</v>
      </c>
      <c r="B39" s="438"/>
      <c r="C39" s="50">
        <v>2000</v>
      </c>
      <c r="D39" s="46">
        <f>Slot!D39</f>
        <v>1050</v>
      </c>
      <c r="E39" s="46">
        <f>Slot!E39</f>
        <v>1050</v>
      </c>
      <c r="F39" s="46">
        <f>Slot!F39</f>
        <v>1000</v>
      </c>
      <c r="G39" s="46">
        <f>Slot!G39</f>
        <v>1000</v>
      </c>
      <c r="H39" s="107"/>
      <c r="I39" s="107"/>
    </row>
    <row r="40" spans="1:9" ht="15.6" customHeight="1" outlineLevel="1" x14ac:dyDescent="0.3">
      <c r="A40" s="438"/>
      <c r="B40" s="438"/>
      <c r="C40" s="328">
        <v>2100</v>
      </c>
      <c r="D40" s="46">
        <f>Slot!D40</f>
        <v>1155</v>
      </c>
      <c r="E40" s="46">
        <f>Slot!E40</f>
        <v>1154.9999999999995</v>
      </c>
      <c r="F40" s="46">
        <f>Slot!F40</f>
        <v>1100.0000000000009</v>
      </c>
      <c r="G40" s="46">
        <f>Slot!G40</f>
        <v>1100</v>
      </c>
    </row>
    <row r="41" spans="1:9" ht="15.6" customHeight="1" outlineLevel="1" x14ac:dyDescent="0.3">
      <c r="A41" s="438"/>
      <c r="B41" s="438"/>
      <c r="C41" s="328">
        <v>2200</v>
      </c>
      <c r="D41" s="46">
        <f>Slot!D41</f>
        <v>1260</v>
      </c>
      <c r="E41" s="46">
        <f>Slot!E41</f>
        <v>1260</v>
      </c>
      <c r="F41" s="46">
        <f>Slot!F41</f>
        <v>1200</v>
      </c>
      <c r="G41" s="46">
        <f>Slot!G41</f>
        <v>1200</v>
      </c>
    </row>
    <row r="42" spans="1:9" ht="15.6" customHeight="1" outlineLevel="1" x14ac:dyDescent="0.3">
      <c r="A42" s="438"/>
      <c r="B42" s="438"/>
      <c r="C42" s="328">
        <v>2300</v>
      </c>
      <c r="D42" s="46">
        <f>Slot!D42</f>
        <v>1365</v>
      </c>
      <c r="E42" s="46">
        <f>Slot!E42</f>
        <v>1365</v>
      </c>
      <c r="F42" s="46">
        <f>Slot!F42</f>
        <v>1300</v>
      </c>
      <c r="G42" s="46">
        <f>Slot!G42</f>
        <v>1300</v>
      </c>
    </row>
    <row r="43" spans="1:9" ht="15.6" customHeight="1" outlineLevel="1" x14ac:dyDescent="0.3">
      <c r="A43" s="438"/>
      <c r="B43" s="438"/>
      <c r="C43" s="328">
        <v>2400</v>
      </c>
      <c r="D43" s="46">
        <f>Slot!D43</f>
        <v>1470.0000000000005</v>
      </c>
      <c r="E43" s="46">
        <f>Slot!E43</f>
        <v>1470</v>
      </c>
      <c r="F43" s="46">
        <f>Slot!F43</f>
        <v>1399.9999999999991</v>
      </c>
      <c r="G43" s="46">
        <f>Slot!G43</f>
        <v>1400.0000000000009</v>
      </c>
    </row>
    <row r="44" spans="1:9" ht="15.6" customHeight="1" x14ac:dyDescent="0.3">
      <c r="A44" s="63"/>
      <c r="B44" s="36"/>
      <c r="C44" s="36"/>
      <c r="D44" s="36"/>
      <c r="E44" s="36"/>
      <c r="F44" s="36"/>
      <c r="G44" s="36"/>
    </row>
    <row r="45" spans="1:9" ht="15.6" customHeight="1" x14ac:dyDescent="0.3">
      <c r="A45" s="105" t="s">
        <v>142</v>
      </c>
      <c r="B45" s="36"/>
      <c r="C45" s="36"/>
      <c r="D45" s="36"/>
      <c r="E45" s="36"/>
      <c r="F45" s="36"/>
      <c r="G45" s="36"/>
    </row>
    <row r="46" spans="1:9" ht="15.6" customHeight="1" x14ac:dyDescent="0.3">
      <c r="A46" s="284" t="s">
        <v>361</v>
      </c>
      <c r="B46" s="36"/>
      <c r="C46" s="36"/>
      <c r="D46" s="36"/>
      <c r="E46" s="36"/>
      <c r="F46" s="36"/>
      <c r="G46" s="36"/>
    </row>
    <row r="47" spans="1:9" ht="15.6" customHeight="1" x14ac:dyDescent="0.3">
      <c r="A47" s="407" t="s">
        <v>138</v>
      </c>
      <c r="B47" s="407"/>
      <c r="C47" s="407"/>
      <c r="D47" s="407"/>
      <c r="E47" s="407"/>
      <c r="F47" s="407"/>
      <c r="G47" s="407"/>
    </row>
    <row r="48" spans="1:9" ht="15.6" customHeight="1" x14ac:dyDescent="0.3">
      <c r="A48" s="403" t="s">
        <v>84</v>
      </c>
      <c r="B48" s="403"/>
      <c r="C48" s="403" t="s">
        <v>68</v>
      </c>
      <c r="D48" s="403"/>
      <c r="E48" s="403"/>
      <c r="F48" s="403"/>
      <c r="G48" s="403"/>
    </row>
    <row r="49" spans="1:15" ht="24" customHeight="1" x14ac:dyDescent="0.3">
      <c r="A49" s="403"/>
      <c r="B49" s="403"/>
      <c r="C49" s="113" t="s">
        <v>65</v>
      </c>
      <c r="D49" s="113" t="s">
        <v>66</v>
      </c>
      <c r="E49" s="113" t="s">
        <v>166</v>
      </c>
      <c r="F49" s="111" t="s">
        <v>163</v>
      </c>
      <c r="G49" s="113" t="s">
        <v>88</v>
      </c>
    </row>
    <row r="50" spans="1:15" s="49" customFormat="1" ht="27" customHeight="1" x14ac:dyDescent="0.3">
      <c r="A50" s="458" t="s">
        <v>180</v>
      </c>
      <c r="B50" s="325" t="s">
        <v>137</v>
      </c>
      <c r="C50" s="419" t="s">
        <v>67</v>
      </c>
      <c r="D50" s="50">
        <v>2000</v>
      </c>
      <c r="E50" s="48">
        <f>Fusion!E31</f>
        <v>7450</v>
      </c>
      <c r="F50" s="48">
        <f t="shared" ref="F50:F59" si="6">F13+E50</f>
        <v>27980</v>
      </c>
      <c r="G50" s="48">
        <f t="shared" ref="G50:G59" si="7">G13+E50</f>
        <v>23874</v>
      </c>
      <c r="J50"/>
      <c r="K50"/>
      <c r="L50"/>
      <c r="M50"/>
      <c r="N50"/>
      <c r="O50"/>
    </row>
    <row r="51" spans="1:15" ht="25.5" customHeight="1" outlineLevel="1" x14ac:dyDescent="0.3">
      <c r="A51" s="459"/>
      <c r="B51" s="402" t="s">
        <v>85</v>
      </c>
      <c r="C51" s="420"/>
      <c r="D51" s="328">
        <v>2100</v>
      </c>
      <c r="E51" s="48">
        <f>Fusion!E32</f>
        <v>8200</v>
      </c>
      <c r="F51" s="46">
        <f t="shared" si="6"/>
        <v>30800</v>
      </c>
      <c r="G51" s="46">
        <f t="shared" si="7"/>
        <v>26280</v>
      </c>
    </row>
    <row r="52" spans="1:15" ht="25.5" customHeight="1" outlineLevel="1" x14ac:dyDescent="0.3">
      <c r="A52" s="459"/>
      <c r="B52" s="402"/>
      <c r="C52" s="420"/>
      <c r="D52" s="328">
        <v>2200</v>
      </c>
      <c r="E52" s="48">
        <f>Fusion!E33</f>
        <v>8200</v>
      </c>
      <c r="F52" s="46">
        <f t="shared" si="6"/>
        <v>32850</v>
      </c>
      <c r="G52" s="46">
        <f t="shared" si="7"/>
        <v>27920</v>
      </c>
    </row>
    <row r="53" spans="1:15" ht="25.5" customHeight="1" outlineLevel="1" x14ac:dyDescent="0.3">
      <c r="A53" s="459"/>
      <c r="B53" s="325" t="s">
        <v>86</v>
      </c>
      <c r="C53" s="420"/>
      <c r="D53" s="328">
        <v>2300</v>
      </c>
      <c r="E53" s="48">
        <f>Fusion!E34</f>
        <v>9100</v>
      </c>
      <c r="F53" s="46">
        <f t="shared" si="6"/>
        <v>35800</v>
      </c>
      <c r="G53" s="46">
        <f t="shared" si="7"/>
        <v>30460</v>
      </c>
    </row>
    <row r="54" spans="1:15" ht="25.5" customHeight="1" outlineLevel="1" x14ac:dyDescent="0.3">
      <c r="A54" s="459"/>
      <c r="B54" s="325" t="str">
        <f>B59</f>
        <v>Короб L (В=2700) 
Наличник L 75/10 (В=2700)</v>
      </c>
      <c r="C54" s="421"/>
      <c r="D54" s="328">
        <v>2400</v>
      </c>
      <c r="E54" s="48">
        <f>Fusion!E35</f>
        <v>9700</v>
      </c>
      <c r="F54" s="46">
        <f t="shared" si="6"/>
        <v>38450</v>
      </c>
      <c r="G54" s="46">
        <f t="shared" si="7"/>
        <v>32700</v>
      </c>
    </row>
    <row r="55" spans="1:15" s="49" customFormat="1" ht="27" customHeight="1" x14ac:dyDescent="0.3">
      <c r="A55" s="459"/>
      <c r="B55" s="325" t="s">
        <v>137</v>
      </c>
      <c r="C55" s="419">
        <v>900</v>
      </c>
      <c r="D55" s="50">
        <v>2000</v>
      </c>
      <c r="E55" s="48">
        <f>Fusion!E36</f>
        <v>7450</v>
      </c>
      <c r="F55" s="48">
        <f t="shared" si="6"/>
        <v>30050</v>
      </c>
      <c r="G55" s="48">
        <f t="shared" si="7"/>
        <v>25530</v>
      </c>
      <c r="J55"/>
      <c r="K55"/>
      <c r="L55"/>
      <c r="M55"/>
      <c r="N55"/>
      <c r="O55"/>
    </row>
    <row r="56" spans="1:15" ht="25.5" customHeight="1" outlineLevel="1" x14ac:dyDescent="0.3">
      <c r="A56" s="459"/>
      <c r="B56" s="402" t="s">
        <v>85</v>
      </c>
      <c r="C56" s="420"/>
      <c r="D56" s="328">
        <v>2100</v>
      </c>
      <c r="E56" s="48">
        <f>Fusion!E37</f>
        <v>8200</v>
      </c>
      <c r="F56" s="46">
        <f t="shared" si="6"/>
        <v>33100</v>
      </c>
      <c r="G56" s="46">
        <f t="shared" si="7"/>
        <v>28120</v>
      </c>
    </row>
    <row r="57" spans="1:15" ht="25.5" customHeight="1" outlineLevel="1" x14ac:dyDescent="0.3">
      <c r="A57" s="459"/>
      <c r="B57" s="402"/>
      <c r="C57" s="420"/>
      <c r="D57" s="328">
        <v>2200</v>
      </c>
      <c r="E57" s="48">
        <f>Fusion!E38</f>
        <v>8200</v>
      </c>
      <c r="F57" s="46">
        <f t="shared" si="6"/>
        <v>35350</v>
      </c>
      <c r="G57" s="46">
        <f t="shared" si="7"/>
        <v>29920</v>
      </c>
    </row>
    <row r="58" spans="1:15" ht="25.5" customHeight="1" outlineLevel="1" x14ac:dyDescent="0.3">
      <c r="A58" s="459"/>
      <c r="B58" s="325" t="s">
        <v>86</v>
      </c>
      <c r="C58" s="420"/>
      <c r="D58" s="328">
        <v>2300</v>
      </c>
      <c r="E58" s="48">
        <f>Fusion!E39</f>
        <v>9100</v>
      </c>
      <c r="F58" s="46">
        <f t="shared" si="6"/>
        <v>38500</v>
      </c>
      <c r="G58" s="46">
        <f t="shared" si="7"/>
        <v>32620</v>
      </c>
    </row>
    <row r="59" spans="1:15" ht="25.5" customHeight="1" outlineLevel="1" x14ac:dyDescent="0.3">
      <c r="A59" s="459"/>
      <c r="B59" s="325" t="s">
        <v>395</v>
      </c>
      <c r="C59" s="421"/>
      <c r="D59" s="328">
        <v>2400</v>
      </c>
      <c r="E59" s="48">
        <f>Fusion!E40</f>
        <v>9700</v>
      </c>
      <c r="F59" s="46">
        <f t="shared" si="6"/>
        <v>41350</v>
      </c>
      <c r="G59" s="46">
        <f t="shared" si="7"/>
        <v>35020</v>
      </c>
    </row>
    <row r="60" spans="1:15" x14ac:dyDescent="0.3">
      <c r="A60" s="412"/>
      <c r="B60" s="412"/>
      <c r="C60" s="37"/>
      <c r="D60" s="54"/>
      <c r="E60" s="457"/>
      <c r="F60" s="457"/>
      <c r="G60" s="457"/>
    </row>
    <row r="61" spans="1:15" ht="15.6" customHeight="1" x14ac:dyDescent="0.3">
      <c r="A61" s="407" t="s">
        <v>164</v>
      </c>
      <c r="B61" s="407"/>
      <c r="C61" s="407"/>
      <c r="D61" s="407"/>
      <c r="E61" s="407"/>
      <c r="F61" s="407"/>
      <c r="G61" s="407"/>
    </row>
    <row r="62" spans="1:15" ht="15.6" customHeight="1" x14ac:dyDescent="0.3">
      <c r="A62" s="403" t="s">
        <v>165</v>
      </c>
      <c r="B62" s="403"/>
      <c r="C62" s="403" t="s">
        <v>68</v>
      </c>
      <c r="D62" s="403"/>
      <c r="E62" s="403"/>
      <c r="F62" s="403"/>
      <c r="G62" s="403"/>
    </row>
    <row r="63" spans="1:15" ht="24" customHeight="1" x14ac:dyDescent="0.3">
      <c r="A63" s="403"/>
      <c r="B63" s="403"/>
      <c r="C63" s="113" t="s">
        <v>65</v>
      </c>
      <c r="D63" s="113" t="s">
        <v>66</v>
      </c>
      <c r="E63" s="113" t="s">
        <v>166</v>
      </c>
      <c r="F63" s="111" t="s">
        <v>87</v>
      </c>
      <c r="G63" s="113" t="s">
        <v>88</v>
      </c>
    </row>
    <row r="64" spans="1:15" s="49" customFormat="1" ht="27" customHeight="1" x14ac:dyDescent="0.3">
      <c r="A64" s="396" t="s">
        <v>180</v>
      </c>
      <c r="B64" s="325" t="s">
        <v>137</v>
      </c>
      <c r="C64" s="404" t="s">
        <v>67</v>
      </c>
      <c r="D64" s="50">
        <v>2000</v>
      </c>
      <c r="E64" s="48">
        <f>Fusion!E45</f>
        <v>9800</v>
      </c>
      <c r="F64" s="48">
        <f>F13+E64</f>
        <v>30330</v>
      </c>
      <c r="G64" s="48">
        <f>G13+E64</f>
        <v>26224</v>
      </c>
      <c r="J64"/>
      <c r="K64"/>
      <c r="L64"/>
      <c r="M64"/>
      <c r="N64"/>
      <c r="O64"/>
    </row>
    <row r="65" spans="1:15" ht="25.5" customHeight="1" outlineLevel="1" x14ac:dyDescent="0.3">
      <c r="A65" s="396"/>
      <c r="B65" s="402" t="s">
        <v>85</v>
      </c>
      <c r="C65" s="404"/>
      <c r="D65" s="328">
        <v>2100</v>
      </c>
      <c r="E65" s="46">
        <f>Fusion!E46</f>
        <v>10800</v>
      </c>
      <c r="F65" s="46">
        <f t="shared" ref="F65:F68" si="8">F14+E65</f>
        <v>33400</v>
      </c>
      <c r="G65" s="46">
        <f t="shared" ref="G65:G68" si="9">G14+E65</f>
        <v>28880</v>
      </c>
    </row>
    <row r="66" spans="1:15" ht="25.5" customHeight="1" outlineLevel="1" x14ac:dyDescent="0.3">
      <c r="A66" s="396"/>
      <c r="B66" s="402"/>
      <c r="C66" s="404"/>
      <c r="D66" s="328">
        <v>2200</v>
      </c>
      <c r="E66" s="46">
        <f>Fusion!E47</f>
        <v>10800</v>
      </c>
      <c r="F66" s="46">
        <f t="shared" si="8"/>
        <v>35450</v>
      </c>
      <c r="G66" s="46">
        <f t="shared" si="9"/>
        <v>30520</v>
      </c>
    </row>
    <row r="67" spans="1:15" ht="25.5" customHeight="1" outlineLevel="1" x14ac:dyDescent="0.3">
      <c r="A67" s="396"/>
      <c r="B67" s="325" t="s">
        <v>86</v>
      </c>
      <c r="C67" s="404"/>
      <c r="D67" s="328">
        <v>2300</v>
      </c>
      <c r="E67" s="46">
        <f>Fusion!E48</f>
        <v>11700</v>
      </c>
      <c r="F67" s="46">
        <f t="shared" si="8"/>
        <v>38400</v>
      </c>
      <c r="G67" s="46">
        <f t="shared" si="9"/>
        <v>33060</v>
      </c>
    </row>
    <row r="68" spans="1:15" ht="25.5" customHeight="1" outlineLevel="1" x14ac:dyDescent="0.3">
      <c r="A68" s="396"/>
      <c r="B68" s="325" t="str">
        <f>B59</f>
        <v>Короб L (В=2700) 
Наличник L 75/10 (В=2700)</v>
      </c>
      <c r="C68" s="404"/>
      <c r="D68" s="328">
        <v>2400</v>
      </c>
      <c r="E68" s="46">
        <f>Fusion!E49</f>
        <v>12775</v>
      </c>
      <c r="F68" s="46">
        <f t="shared" si="8"/>
        <v>41525</v>
      </c>
      <c r="G68" s="46">
        <f t="shared" si="9"/>
        <v>35775</v>
      </c>
    </row>
    <row r="69" spans="1:15" s="49" customFormat="1" ht="27" customHeight="1" x14ac:dyDescent="0.3">
      <c r="A69" s="396"/>
      <c r="B69" s="325" t="s">
        <v>137</v>
      </c>
      <c r="C69" s="404">
        <v>900</v>
      </c>
      <c r="D69" s="50">
        <v>2000</v>
      </c>
      <c r="E69" s="48">
        <f>Fusion!E50</f>
        <v>9800</v>
      </c>
      <c r="F69" s="48">
        <f>F18+E69</f>
        <v>32400</v>
      </c>
      <c r="G69" s="48">
        <f>G18+E69</f>
        <v>27880</v>
      </c>
      <c r="J69"/>
      <c r="K69"/>
      <c r="L69"/>
      <c r="M69"/>
      <c r="N69"/>
      <c r="O69"/>
    </row>
    <row r="70" spans="1:15" ht="25.5" customHeight="1" outlineLevel="1" x14ac:dyDescent="0.3">
      <c r="A70" s="396"/>
      <c r="B70" s="402" t="s">
        <v>85</v>
      </c>
      <c r="C70" s="404"/>
      <c r="D70" s="328">
        <v>2100</v>
      </c>
      <c r="E70" s="46">
        <f>Fusion!E51</f>
        <v>10800</v>
      </c>
      <c r="F70" s="46">
        <f t="shared" ref="F70:F73" si="10">F19+E70</f>
        <v>35700</v>
      </c>
      <c r="G70" s="46">
        <f t="shared" ref="G70:G73" si="11">G19+E70</f>
        <v>30720</v>
      </c>
    </row>
    <row r="71" spans="1:15" ht="25.5" customHeight="1" outlineLevel="1" x14ac:dyDescent="0.3">
      <c r="A71" s="396"/>
      <c r="B71" s="402"/>
      <c r="C71" s="404"/>
      <c r="D71" s="328">
        <v>2200</v>
      </c>
      <c r="E71" s="46">
        <f>Fusion!E52</f>
        <v>10800</v>
      </c>
      <c r="F71" s="46">
        <f t="shared" si="10"/>
        <v>37950</v>
      </c>
      <c r="G71" s="46">
        <f t="shared" si="11"/>
        <v>32520</v>
      </c>
    </row>
    <row r="72" spans="1:15" ht="25.5" customHeight="1" outlineLevel="1" x14ac:dyDescent="0.3">
      <c r="A72" s="396"/>
      <c r="B72" s="325" t="s">
        <v>86</v>
      </c>
      <c r="C72" s="404"/>
      <c r="D72" s="328">
        <v>2300</v>
      </c>
      <c r="E72" s="46">
        <f>Fusion!E53</f>
        <v>11700</v>
      </c>
      <c r="F72" s="46">
        <f t="shared" si="10"/>
        <v>41100</v>
      </c>
      <c r="G72" s="46">
        <f t="shared" si="11"/>
        <v>35220</v>
      </c>
    </row>
    <row r="73" spans="1:15" ht="25.5" customHeight="1" outlineLevel="1" x14ac:dyDescent="0.3">
      <c r="A73" s="324"/>
      <c r="B73" s="325" t="str">
        <f>B59</f>
        <v>Короб L (В=2700) 
Наличник L 75/10 (В=2700)</v>
      </c>
      <c r="C73" s="404"/>
      <c r="D73" s="328">
        <v>2400</v>
      </c>
      <c r="E73" s="46">
        <f>Fusion!E54</f>
        <v>12775</v>
      </c>
      <c r="F73" s="46">
        <f t="shared" si="10"/>
        <v>44425</v>
      </c>
      <c r="G73" s="46">
        <f t="shared" si="11"/>
        <v>38095</v>
      </c>
    </row>
    <row r="74" spans="1:15" ht="12.75" customHeight="1" x14ac:dyDescent="0.3">
      <c r="A74" s="41"/>
      <c r="B74" s="41"/>
      <c r="C74" s="41"/>
      <c r="D74" s="41"/>
      <c r="E74" s="41"/>
      <c r="F74" s="41"/>
      <c r="G74" s="41"/>
    </row>
    <row r="75" spans="1:15" ht="15.6" customHeight="1" x14ac:dyDescent="0.3">
      <c r="A75" s="407" t="s">
        <v>174</v>
      </c>
      <c r="B75" s="407"/>
      <c r="C75" s="407"/>
      <c r="D75" s="407"/>
      <c r="E75" s="407"/>
      <c r="F75" s="407"/>
      <c r="G75" s="407"/>
    </row>
    <row r="76" spans="1:15" ht="15.6" customHeight="1" x14ac:dyDescent="0.3">
      <c r="A76" s="403" t="s">
        <v>366</v>
      </c>
      <c r="B76" s="403"/>
      <c r="C76" s="403" t="s">
        <v>68</v>
      </c>
      <c r="D76" s="403"/>
      <c r="E76" s="403"/>
      <c r="F76" s="403"/>
      <c r="G76" s="403"/>
    </row>
    <row r="77" spans="1:15" ht="24" customHeight="1" x14ac:dyDescent="0.3">
      <c r="A77" s="403"/>
      <c r="B77" s="403"/>
      <c r="C77" s="113" t="s">
        <v>65</v>
      </c>
      <c r="D77" s="113" t="s">
        <v>66</v>
      </c>
      <c r="E77" s="113" t="s">
        <v>166</v>
      </c>
      <c r="F77" s="111" t="s">
        <v>163</v>
      </c>
      <c r="G77" s="113" t="s">
        <v>88</v>
      </c>
    </row>
    <row r="78" spans="1:15" s="49" customFormat="1" ht="27" customHeight="1" x14ac:dyDescent="0.3">
      <c r="A78" s="396" t="s">
        <v>180</v>
      </c>
      <c r="B78" s="325" t="s">
        <v>365</v>
      </c>
      <c r="C78" s="404" t="s">
        <v>67</v>
      </c>
      <c r="D78" s="50">
        <v>2000</v>
      </c>
      <c r="E78" s="48">
        <f>'Porte39-00'!E79</f>
        <v>13850</v>
      </c>
      <c r="F78" s="48">
        <f>F13+E78+F91+$F$96</f>
        <v>42900</v>
      </c>
      <c r="G78" s="48">
        <f>G13+E78+F91+$F$96</f>
        <v>38794</v>
      </c>
      <c r="J78"/>
      <c r="K78"/>
      <c r="L78"/>
      <c r="M78"/>
      <c r="N78"/>
      <c r="O78"/>
    </row>
    <row r="79" spans="1:15" ht="25.5" customHeight="1" outlineLevel="1" x14ac:dyDescent="0.3">
      <c r="A79" s="396"/>
      <c r="B79" s="402" t="s">
        <v>365</v>
      </c>
      <c r="C79" s="404"/>
      <c r="D79" s="328">
        <v>2100</v>
      </c>
      <c r="E79" s="46">
        <f>'Porte39-00'!E80</f>
        <v>13850</v>
      </c>
      <c r="F79" s="46">
        <f t="shared" ref="F79:F81" si="12">F14+E79+F92+$F$96</f>
        <v>44970</v>
      </c>
      <c r="G79" s="46">
        <f t="shared" ref="G79:G82" si="13">G14+E79+F92+$F$96</f>
        <v>40450</v>
      </c>
    </row>
    <row r="80" spans="1:15" ht="25.5" customHeight="1" outlineLevel="1" x14ac:dyDescent="0.3">
      <c r="A80" s="396"/>
      <c r="B80" s="402"/>
      <c r="C80" s="404"/>
      <c r="D80" s="328">
        <v>2200</v>
      </c>
      <c r="E80" s="46">
        <f>'Porte39-00'!E81</f>
        <v>15125</v>
      </c>
      <c r="F80" s="46">
        <f t="shared" si="12"/>
        <v>48295</v>
      </c>
      <c r="G80" s="46">
        <f t="shared" si="13"/>
        <v>43365</v>
      </c>
    </row>
    <row r="81" spans="1:15" ht="25.5" customHeight="1" outlineLevel="1" x14ac:dyDescent="0.3">
      <c r="A81" s="396"/>
      <c r="B81" s="325" t="s">
        <v>365</v>
      </c>
      <c r="C81" s="404"/>
      <c r="D81" s="328">
        <v>2300</v>
      </c>
      <c r="E81" s="46">
        <f>'Porte39-00'!E82</f>
        <v>15125</v>
      </c>
      <c r="F81" s="46">
        <f t="shared" si="12"/>
        <v>53765</v>
      </c>
      <c r="G81" s="46">
        <f t="shared" si="13"/>
        <v>48425</v>
      </c>
    </row>
    <row r="82" spans="1:15" ht="25.5" customHeight="1" outlineLevel="1" x14ac:dyDescent="0.3">
      <c r="A82" s="396"/>
      <c r="B82" s="325" t="s">
        <v>365</v>
      </c>
      <c r="C82" s="404"/>
      <c r="D82" s="328">
        <v>2400</v>
      </c>
      <c r="E82" s="46">
        <f>'Porte39-00'!E83</f>
        <v>17753</v>
      </c>
      <c r="F82" s="46">
        <f>F17+E82+F95+$F$96</f>
        <v>58443</v>
      </c>
      <c r="G82" s="46">
        <f t="shared" si="13"/>
        <v>52693</v>
      </c>
    </row>
    <row r="83" spans="1:15" s="49" customFormat="1" ht="27" customHeight="1" x14ac:dyDescent="0.3">
      <c r="A83" s="396"/>
      <c r="B83" s="325" t="s">
        <v>365</v>
      </c>
      <c r="C83" s="404">
        <v>900</v>
      </c>
      <c r="D83" s="50">
        <v>2000</v>
      </c>
      <c r="E83" s="48">
        <f>E78</f>
        <v>13850</v>
      </c>
      <c r="F83" s="48">
        <f>F18+E83+F91+$F$96</f>
        <v>44970</v>
      </c>
      <c r="G83" s="48">
        <f>G18+E83+F91+$F$96</f>
        <v>40450</v>
      </c>
      <c r="J83"/>
      <c r="K83"/>
      <c r="L83"/>
      <c r="M83"/>
      <c r="N83"/>
      <c r="O83"/>
    </row>
    <row r="84" spans="1:15" ht="25.5" customHeight="1" outlineLevel="1" x14ac:dyDescent="0.3">
      <c r="A84" s="396"/>
      <c r="B84" s="402" t="s">
        <v>365</v>
      </c>
      <c r="C84" s="404"/>
      <c r="D84" s="328">
        <v>2100</v>
      </c>
      <c r="E84" s="46">
        <f>E79</f>
        <v>13850</v>
      </c>
      <c r="F84" s="46">
        <f t="shared" ref="F84:F87" si="14">F19+E84+F92+$F$96</f>
        <v>47270</v>
      </c>
      <c r="G84" s="46">
        <f t="shared" ref="G84:G87" si="15">G19+E84+F92+$F$96</f>
        <v>42290</v>
      </c>
    </row>
    <row r="85" spans="1:15" ht="25.5" customHeight="1" outlineLevel="1" x14ac:dyDescent="0.3">
      <c r="A85" s="396"/>
      <c r="B85" s="402"/>
      <c r="C85" s="404"/>
      <c r="D85" s="328">
        <v>2200</v>
      </c>
      <c r="E85" s="46">
        <f t="shared" ref="E85:E86" si="16">E80</f>
        <v>15125</v>
      </c>
      <c r="F85" s="46">
        <f t="shared" si="14"/>
        <v>50795</v>
      </c>
      <c r="G85" s="46">
        <f t="shared" si="15"/>
        <v>45365</v>
      </c>
    </row>
    <row r="86" spans="1:15" ht="25.5" customHeight="1" outlineLevel="1" x14ac:dyDescent="0.3">
      <c r="A86" s="396"/>
      <c r="B86" s="325" t="s">
        <v>365</v>
      </c>
      <c r="C86" s="404"/>
      <c r="D86" s="328">
        <v>2300</v>
      </c>
      <c r="E86" s="46">
        <f t="shared" si="16"/>
        <v>15125</v>
      </c>
      <c r="F86" s="46">
        <f t="shared" si="14"/>
        <v>56465</v>
      </c>
      <c r="G86" s="46">
        <f t="shared" si="15"/>
        <v>50585</v>
      </c>
    </row>
    <row r="87" spans="1:15" ht="25.5" customHeight="1" outlineLevel="1" x14ac:dyDescent="0.3">
      <c r="A87" s="396"/>
      <c r="B87" s="325" t="s">
        <v>365</v>
      </c>
      <c r="C87" s="404"/>
      <c r="D87" s="328">
        <v>2400</v>
      </c>
      <c r="E87" s="46">
        <f>E82</f>
        <v>17753</v>
      </c>
      <c r="F87" s="46">
        <f t="shared" si="14"/>
        <v>61343</v>
      </c>
      <c r="G87" s="46">
        <f t="shared" si="15"/>
        <v>55013</v>
      </c>
    </row>
    <row r="88" spans="1:15" x14ac:dyDescent="0.3">
      <c r="A88" s="412"/>
      <c r="B88" s="412"/>
      <c r="C88" s="37"/>
      <c r="D88" s="54"/>
      <c r="E88" s="54"/>
      <c r="F88" s="54"/>
      <c r="G88" s="54"/>
    </row>
    <row r="89" spans="1:15" x14ac:dyDescent="0.3">
      <c r="A89" s="109" t="s">
        <v>384</v>
      </c>
      <c r="B89" s="53"/>
      <c r="C89" s="37"/>
      <c r="D89" s="54"/>
      <c r="E89" s="54"/>
      <c r="F89" s="54"/>
      <c r="G89" s="54"/>
      <c r="H89" s="54"/>
      <c r="I89" s="54"/>
      <c r="J89" s="54"/>
    </row>
    <row r="90" spans="1:15" ht="36.75" customHeight="1" x14ac:dyDescent="0.3">
      <c r="A90" s="417" t="s">
        <v>169</v>
      </c>
      <c r="B90" s="418"/>
      <c r="C90" s="113" t="s">
        <v>173</v>
      </c>
      <c r="D90" s="113" t="s">
        <v>66</v>
      </c>
      <c r="E90" s="113" t="s">
        <v>172</v>
      </c>
      <c r="F90" s="113" t="s">
        <v>108</v>
      </c>
      <c r="G90" s="54"/>
    </row>
    <row r="91" spans="1:15" x14ac:dyDescent="0.3">
      <c r="A91" s="422" t="s">
        <v>168</v>
      </c>
      <c r="B91" s="422" t="s">
        <v>167</v>
      </c>
      <c r="C91" s="425">
        <v>3420</v>
      </c>
      <c r="D91" s="50">
        <v>2000</v>
      </c>
      <c r="E91" s="128">
        <v>2</v>
      </c>
      <c r="F91" s="48">
        <f>$C$91*E91</f>
        <v>6840</v>
      </c>
      <c r="G91" s="54"/>
    </row>
    <row r="92" spans="1:15" x14ac:dyDescent="0.3">
      <c r="A92" s="423"/>
      <c r="B92" s="423"/>
      <c r="C92" s="426"/>
      <c r="D92" s="45">
        <v>2100</v>
      </c>
      <c r="E92" s="128">
        <v>2</v>
      </c>
      <c r="F92" s="46">
        <f>$C$91*E92</f>
        <v>6840</v>
      </c>
      <c r="G92" s="54"/>
    </row>
    <row r="93" spans="1:15" x14ac:dyDescent="0.3">
      <c r="A93" s="423"/>
      <c r="B93" s="423"/>
      <c r="C93" s="426"/>
      <c r="D93" s="45">
        <v>2200</v>
      </c>
      <c r="E93" s="128">
        <v>2</v>
      </c>
      <c r="F93" s="46">
        <f>$C$91*E93</f>
        <v>6840</v>
      </c>
      <c r="G93" s="54"/>
    </row>
    <row r="94" spans="1:15" x14ac:dyDescent="0.3">
      <c r="A94" s="423"/>
      <c r="B94" s="423"/>
      <c r="C94" s="426"/>
      <c r="D94" s="45">
        <v>2300</v>
      </c>
      <c r="E94" s="128">
        <v>3</v>
      </c>
      <c r="F94" s="46">
        <f>$C$91*E94</f>
        <v>10260</v>
      </c>
      <c r="G94" s="54"/>
    </row>
    <row r="95" spans="1:15" x14ac:dyDescent="0.3">
      <c r="A95" s="424"/>
      <c r="B95" s="424"/>
      <c r="C95" s="427"/>
      <c r="D95" s="328">
        <v>2400</v>
      </c>
      <c r="E95" s="128">
        <v>3</v>
      </c>
      <c r="F95" s="46">
        <f>$C$91*E95</f>
        <v>10260</v>
      </c>
      <c r="G95" s="327"/>
    </row>
    <row r="96" spans="1:15" ht="27.75" customHeight="1" x14ac:dyDescent="0.3">
      <c r="A96" s="129" t="s">
        <v>170</v>
      </c>
      <c r="B96" s="130" t="s">
        <v>171</v>
      </c>
      <c r="C96" s="131">
        <v>1680</v>
      </c>
      <c r="D96" s="132"/>
      <c r="E96" s="132">
        <v>1</v>
      </c>
      <c r="F96" s="48">
        <f>$C$96*E96</f>
        <v>1680</v>
      </c>
      <c r="G96" s="54"/>
    </row>
    <row r="147" spans="1:7" ht="15" customHeight="1" x14ac:dyDescent="0.3"/>
    <row r="148" spans="1:7" x14ac:dyDescent="0.3">
      <c r="A148" s="39"/>
      <c r="B148" s="39"/>
    </row>
    <row r="149" spans="1:7" x14ac:dyDescent="0.3">
      <c r="B149" s="39"/>
      <c r="C149" s="40"/>
      <c r="D149" s="40"/>
      <c r="E149" s="40"/>
      <c r="F149" s="40"/>
      <c r="G149" s="40"/>
    </row>
    <row r="150" spans="1:7" x14ac:dyDescent="0.3">
      <c r="A150" s="39"/>
      <c r="B150" s="39"/>
    </row>
    <row r="151" spans="1:7" x14ac:dyDescent="0.3">
      <c r="A151" s="39"/>
      <c r="B151" s="39"/>
    </row>
    <row r="152" spans="1:7" x14ac:dyDescent="0.3">
      <c r="A152" s="39"/>
      <c r="B152" s="39"/>
    </row>
    <row r="153" spans="1:7" x14ac:dyDescent="0.3">
      <c r="A153" s="39"/>
      <c r="B153" s="39"/>
    </row>
    <row r="154" spans="1:7" x14ac:dyDescent="0.3">
      <c r="A154" s="39"/>
      <c r="B154" s="39"/>
    </row>
    <row r="155" spans="1:7" x14ac:dyDescent="0.3">
      <c r="A155" s="39"/>
      <c r="B155" s="39"/>
    </row>
    <row r="156" spans="1:7" x14ac:dyDescent="0.3">
      <c r="A156" s="39"/>
      <c r="B156" s="39"/>
    </row>
    <row r="157" spans="1:7" x14ac:dyDescent="0.3">
      <c r="A157" s="39"/>
      <c r="B157" s="39"/>
    </row>
    <row r="158" spans="1:7" x14ac:dyDescent="0.3">
      <c r="A158" s="39"/>
      <c r="B158" s="39"/>
    </row>
    <row r="159" spans="1:7" x14ac:dyDescent="0.3">
      <c r="A159" s="39"/>
      <c r="B159" s="39"/>
    </row>
    <row r="160" spans="1:7" x14ac:dyDescent="0.3">
      <c r="A160" s="39"/>
      <c r="B160" s="39"/>
    </row>
    <row r="161" spans="1:2" x14ac:dyDescent="0.3">
      <c r="A161" s="39"/>
      <c r="B161" s="39"/>
    </row>
    <row r="162" spans="1:2" x14ac:dyDescent="0.3">
      <c r="A162" s="39"/>
      <c r="B162" s="39"/>
    </row>
    <row r="163" spans="1:2" x14ac:dyDescent="0.3">
      <c r="A163" s="39"/>
      <c r="B163" s="39"/>
    </row>
    <row r="164" spans="1:2" x14ac:dyDescent="0.3">
      <c r="A164" s="39"/>
      <c r="B164" s="39"/>
    </row>
    <row r="165" spans="1:2" x14ac:dyDescent="0.3">
      <c r="A165" s="39"/>
      <c r="B165" s="39"/>
    </row>
    <row r="166" spans="1:2" x14ac:dyDescent="0.3">
      <c r="A166" s="39"/>
      <c r="B166" s="39"/>
    </row>
    <row r="167" spans="1:2" x14ac:dyDescent="0.3">
      <c r="A167" s="39"/>
      <c r="B167" s="39"/>
    </row>
    <row r="168" spans="1:2" x14ac:dyDescent="0.3">
      <c r="A168" s="39"/>
      <c r="B168" s="39"/>
    </row>
    <row r="169" spans="1:2" x14ac:dyDescent="0.3">
      <c r="A169" s="39"/>
      <c r="B169" s="39"/>
    </row>
    <row r="170" spans="1:2" x14ac:dyDescent="0.3">
      <c r="A170" s="39"/>
      <c r="B170" s="39"/>
    </row>
    <row r="171" spans="1:2" x14ac:dyDescent="0.3">
      <c r="A171" s="39"/>
      <c r="B171" s="39"/>
    </row>
  </sheetData>
  <mergeCells count="45">
    <mergeCell ref="C13:C17"/>
    <mergeCell ref="A3:G3"/>
    <mergeCell ref="A4:G4"/>
    <mergeCell ref="A10:G10"/>
    <mergeCell ref="A11:B12"/>
    <mergeCell ref="C11:F11"/>
    <mergeCell ref="A64:A72"/>
    <mergeCell ref="B65:B66"/>
    <mergeCell ref="B70:B71"/>
    <mergeCell ref="C64:C68"/>
    <mergeCell ref="C69:C73"/>
    <mergeCell ref="A60:B60"/>
    <mergeCell ref="E60:G60"/>
    <mergeCell ref="A61:G61"/>
    <mergeCell ref="A62:B63"/>
    <mergeCell ref="C62:G62"/>
    <mergeCell ref="A75:G75"/>
    <mergeCell ref="A76:B77"/>
    <mergeCell ref="C76:G76"/>
    <mergeCell ref="B79:B80"/>
    <mergeCell ref="B84:B85"/>
    <mergeCell ref="C83:C87"/>
    <mergeCell ref="A78:A87"/>
    <mergeCell ref="C78:C82"/>
    <mergeCell ref="A88:B88"/>
    <mergeCell ref="A90:B90"/>
    <mergeCell ref="A91:A95"/>
    <mergeCell ref="B91:B95"/>
    <mergeCell ref="C91:C95"/>
    <mergeCell ref="C18:C22"/>
    <mergeCell ref="A29:B33"/>
    <mergeCell ref="A34:B38"/>
    <mergeCell ref="A39:B43"/>
    <mergeCell ref="A50:A59"/>
    <mergeCell ref="C50:C54"/>
    <mergeCell ref="C55:C59"/>
    <mergeCell ref="A47:G47"/>
    <mergeCell ref="A48:B49"/>
    <mergeCell ref="C48:G48"/>
    <mergeCell ref="B51:B52"/>
    <mergeCell ref="B56:B57"/>
    <mergeCell ref="A26:G26"/>
    <mergeCell ref="A27:B28"/>
    <mergeCell ref="D27:G27"/>
    <mergeCell ref="A13:B22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43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0"/>
  <sheetViews>
    <sheetView view="pageBreakPreview" topLeftCell="A79" zoomScaleNormal="100" zoomScaleSheetLayoutView="100" workbookViewId="0">
      <selection activeCell="E88" sqref="E88:E91"/>
    </sheetView>
  </sheetViews>
  <sheetFormatPr defaultRowHeight="14.4" outlineLevelRow="1" outlineLevelCol="1" x14ac:dyDescent="0.3"/>
  <cols>
    <col min="1" max="1" width="11.6640625" customWidth="1"/>
    <col min="2" max="2" width="24" bestFit="1" customWidth="1"/>
    <col min="3" max="7" width="12.6640625" customWidth="1"/>
    <col min="8" max="8" width="9.109375" hidden="1" customWidth="1" outlineLevel="1"/>
    <col min="9" max="9" width="11.44140625" hidden="1" customWidth="1" outlineLevel="1"/>
    <col min="10" max="10" width="0" hidden="1" customWidth="1" collapsed="1"/>
    <col min="11" max="11" width="17.109375" hidden="1" customWidth="1"/>
  </cols>
  <sheetData>
    <row r="1" spans="1:11" s="58" customFormat="1" ht="18.75" customHeight="1" x14ac:dyDescent="0.3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 x14ac:dyDescent="0.3">
      <c r="A2" s="91"/>
      <c r="B2" s="57"/>
      <c r="C2" s="57"/>
      <c r="D2" s="57"/>
      <c r="E2" s="57"/>
      <c r="F2"/>
      <c r="G2"/>
    </row>
    <row r="3" spans="1:11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1" ht="17.399999999999999" x14ac:dyDescent="0.3">
      <c r="A4" s="397" t="s">
        <v>59</v>
      </c>
      <c r="B4" s="397"/>
      <c r="C4" s="397"/>
      <c r="D4" s="397"/>
      <c r="E4" s="397"/>
      <c r="F4" s="397"/>
      <c r="G4" s="397"/>
    </row>
    <row r="5" spans="1:11" ht="9" customHeight="1" x14ac:dyDescent="0.3">
      <c r="A5" s="33"/>
      <c r="B5" s="33"/>
      <c r="C5" s="33"/>
      <c r="D5" s="33"/>
      <c r="E5" s="33"/>
      <c r="F5" s="33"/>
      <c r="G5" s="33"/>
    </row>
    <row r="6" spans="1:11" ht="9" customHeight="1" x14ac:dyDescent="0.3">
      <c r="A6" s="33"/>
      <c r="B6" s="33"/>
      <c r="C6" s="33"/>
      <c r="D6" s="33"/>
      <c r="E6" s="33"/>
      <c r="F6" s="33"/>
      <c r="G6" s="33"/>
    </row>
    <row r="7" spans="1:11" ht="144" customHeight="1" x14ac:dyDescent="0.3">
      <c r="C7" s="1"/>
      <c r="D7" s="1"/>
      <c r="E7" s="1"/>
      <c r="F7" s="1"/>
      <c r="G7" s="1"/>
    </row>
    <row r="8" spans="1:11" ht="20.25" customHeight="1" x14ac:dyDescent="0.3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 x14ac:dyDescent="0.3">
      <c r="A9" s="36"/>
      <c r="B9" s="36"/>
      <c r="C9" s="36"/>
      <c r="D9" s="36"/>
      <c r="E9" s="36"/>
      <c r="F9" s="36"/>
      <c r="G9" s="36"/>
    </row>
    <row r="10" spans="1:11" ht="15.6" customHeight="1" x14ac:dyDescent="0.3">
      <c r="A10" s="408" t="s">
        <v>136</v>
      </c>
      <c r="B10" s="409"/>
      <c r="C10" s="409"/>
      <c r="D10" s="409"/>
      <c r="E10" s="409"/>
      <c r="F10" s="409"/>
      <c r="G10" s="410"/>
    </row>
    <row r="11" spans="1:11" ht="15.6" customHeight="1" x14ac:dyDescent="0.3">
      <c r="A11" s="403" t="s">
        <v>83</v>
      </c>
      <c r="B11" s="403"/>
      <c r="C11" s="405" t="s">
        <v>68</v>
      </c>
      <c r="D11" s="406"/>
      <c r="E11" s="406"/>
      <c r="F11" s="406"/>
      <c r="G11" s="126"/>
    </row>
    <row r="12" spans="1:11" x14ac:dyDescent="0.3">
      <c r="A12" s="403"/>
      <c r="B12" s="403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 x14ac:dyDescent="0.3">
      <c r="A13" s="396" t="s">
        <v>187</v>
      </c>
      <c r="B13" s="396"/>
      <c r="C13" s="404" t="s">
        <v>67</v>
      </c>
      <c r="D13" s="50">
        <v>2000</v>
      </c>
      <c r="E13" s="50" t="s">
        <v>70</v>
      </c>
      <c r="F13" s="48">
        <f>база!F20</f>
        <v>21080</v>
      </c>
      <c r="G13" s="48">
        <f>F13*(1-$G$8)</f>
        <v>16864</v>
      </c>
      <c r="H13" s="313">
        <f>F13*0.61</f>
        <v>12858.8</v>
      </c>
      <c r="I13" s="48">
        <f>H13*(1-$I$8)</f>
        <v>11572.92</v>
      </c>
      <c r="J13" s="49">
        <v>19520</v>
      </c>
      <c r="K13" s="310">
        <f>F13/J13-1</f>
        <v>7.991803278688514E-2</v>
      </c>
    </row>
    <row r="14" spans="1:11" ht="25.5" customHeight="1" outlineLevel="1" x14ac:dyDescent="0.3">
      <c r="A14" s="396"/>
      <c r="B14" s="396"/>
      <c r="C14" s="404"/>
      <c r="D14" s="328">
        <v>2100</v>
      </c>
      <c r="E14" s="47">
        <v>0.1</v>
      </c>
      <c r="F14" s="46">
        <f>CEILING(F13*(1+E14), 50)</f>
        <v>23200</v>
      </c>
      <c r="G14" s="46">
        <f t="shared" ref="G14:G21" si="0">F14*(1-$G$8)</f>
        <v>18560</v>
      </c>
      <c r="H14" s="313">
        <f t="shared" ref="H14:H21" si="1">F14*0.61</f>
        <v>14152</v>
      </c>
      <c r="I14" s="46">
        <f t="shared" ref="I14:I21" si="2">H14*(1-$I$8)</f>
        <v>12736.800000000001</v>
      </c>
      <c r="J14">
        <v>21500</v>
      </c>
      <c r="K14" s="310">
        <f t="shared" ref="K14:K21" si="3">F14/J14-1</f>
        <v>7.9069767441860561E-2</v>
      </c>
    </row>
    <row r="15" spans="1:11" ht="25.5" customHeight="1" outlineLevel="1" x14ac:dyDescent="0.3">
      <c r="A15" s="396"/>
      <c r="B15" s="396"/>
      <c r="C15" s="404"/>
      <c r="D15" s="328">
        <v>2200</v>
      </c>
      <c r="E15" s="47">
        <v>0.2</v>
      </c>
      <c r="F15" s="46">
        <f>CEILING(F13*(1+E15), 50)</f>
        <v>25300</v>
      </c>
      <c r="G15" s="46">
        <f t="shared" si="0"/>
        <v>20240</v>
      </c>
      <c r="H15" s="313">
        <f t="shared" si="1"/>
        <v>15433</v>
      </c>
      <c r="I15" s="46">
        <f t="shared" si="2"/>
        <v>13889.7</v>
      </c>
      <c r="J15">
        <v>23450</v>
      </c>
      <c r="K15" s="310">
        <f t="shared" si="3"/>
        <v>7.8891257995735709E-2</v>
      </c>
    </row>
    <row r="16" spans="1:11" ht="25.5" customHeight="1" outlineLevel="1" x14ac:dyDescent="0.3">
      <c r="A16" s="396"/>
      <c r="B16" s="396"/>
      <c r="C16" s="404"/>
      <c r="D16" s="328">
        <v>2300</v>
      </c>
      <c r="E16" s="47">
        <v>0.3</v>
      </c>
      <c r="F16" s="46">
        <f>CEILING(F13*(1+E16), 50)</f>
        <v>27450</v>
      </c>
      <c r="G16" s="46">
        <f t="shared" si="0"/>
        <v>21960</v>
      </c>
      <c r="H16" s="313">
        <f t="shared" si="1"/>
        <v>16744.5</v>
      </c>
      <c r="I16" s="46">
        <f t="shared" si="2"/>
        <v>15070.050000000001</v>
      </c>
      <c r="J16">
        <v>25400</v>
      </c>
      <c r="K16" s="310">
        <f t="shared" si="3"/>
        <v>8.0708661417322913E-2</v>
      </c>
    </row>
    <row r="17" spans="1:11" ht="25.5" customHeight="1" outlineLevel="1" x14ac:dyDescent="0.3">
      <c r="A17" s="396"/>
      <c r="B17" s="396"/>
      <c r="C17" s="404"/>
      <c r="D17" s="328">
        <v>2400</v>
      </c>
      <c r="E17" s="47">
        <v>0.4</v>
      </c>
      <c r="F17" s="46">
        <f>CEILING(F13*(1+E17), 50)</f>
        <v>29550</v>
      </c>
      <c r="G17" s="46">
        <f t="shared" ref="G17" si="4">F17*(1-$G$8)</f>
        <v>23640</v>
      </c>
      <c r="H17" s="313"/>
      <c r="I17" s="46"/>
      <c r="K17" s="310"/>
    </row>
    <row r="18" spans="1:11" s="49" customFormat="1" ht="27" customHeight="1" x14ac:dyDescent="0.3">
      <c r="A18" s="396"/>
      <c r="B18" s="396"/>
      <c r="C18" s="404">
        <v>900</v>
      </c>
      <c r="D18" s="50">
        <v>2000</v>
      </c>
      <c r="E18" s="50" t="s">
        <v>70</v>
      </c>
      <c r="F18" s="48">
        <f>CEILING(F13*(1+10%), 50)</f>
        <v>23200</v>
      </c>
      <c r="G18" s="48">
        <f t="shared" si="0"/>
        <v>18560</v>
      </c>
      <c r="H18" s="313">
        <f t="shared" si="1"/>
        <v>14152</v>
      </c>
      <c r="I18" s="48">
        <f t="shared" si="2"/>
        <v>12736.800000000001</v>
      </c>
      <c r="J18" s="49">
        <v>21500</v>
      </c>
      <c r="K18" s="310">
        <f t="shared" si="3"/>
        <v>7.9069767441860561E-2</v>
      </c>
    </row>
    <row r="19" spans="1:11" ht="25.5" customHeight="1" outlineLevel="1" x14ac:dyDescent="0.3">
      <c r="A19" s="396"/>
      <c r="B19" s="396"/>
      <c r="C19" s="404"/>
      <c r="D19" s="328">
        <v>2100</v>
      </c>
      <c r="E19" s="47">
        <v>0.1</v>
      </c>
      <c r="F19" s="46">
        <f>CEILING(F18*(1+E19), 50)</f>
        <v>25550</v>
      </c>
      <c r="G19" s="46">
        <f t="shared" si="0"/>
        <v>20440</v>
      </c>
      <c r="H19" s="313">
        <f t="shared" si="1"/>
        <v>15585.5</v>
      </c>
      <c r="I19" s="46">
        <f t="shared" si="2"/>
        <v>14026.95</v>
      </c>
      <c r="J19">
        <v>23650</v>
      </c>
      <c r="K19" s="310">
        <f t="shared" si="3"/>
        <v>8.0338266384778034E-2</v>
      </c>
    </row>
    <row r="20" spans="1:11" ht="25.5" customHeight="1" outlineLevel="1" x14ac:dyDescent="0.3">
      <c r="A20" s="396"/>
      <c r="B20" s="396"/>
      <c r="C20" s="404"/>
      <c r="D20" s="328">
        <v>2200</v>
      </c>
      <c r="E20" s="47">
        <v>0.2</v>
      </c>
      <c r="F20" s="46">
        <f>CEILING(F18*(1+E20), 50)</f>
        <v>27850</v>
      </c>
      <c r="G20" s="46">
        <f t="shared" si="0"/>
        <v>22280</v>
      </c>
      <c r="H20" s="313">
        <f t="shared" si="1"/>
        <v>16988.5</v>
      </c>
      <c r="I20" s="46">
        <f t="shared" si="2"/>
        <v>15289.65</v>
      </c>
      <c r="J20">
        <v>25800</v>
      </c>
      <c r="K20" s="310">
        <f t="shared" si="3"/>
        <v>7.945736434108519E-2</v>
      </c>
    </row>
    <row r="21" spans="1:11" ht="25.5" customHeight="1" outlineLevel="1" x14ac:dyDescent="0.3">
      <c r="A21" s="396"/>
      <c r="B21" s="396"/>
      <c r="C21" s="404"/>
      <c r="D21" s="328">
        <v>2300</v>
      </c>
      <c r="E21" s="47">
        <v>0.3</v>
      </c>
      <c r="F21" s="46">
        <f>CEILING(F18*(1+E21), 50)</f>
        <v>30200</v>
      </c>
      <c r="G21" s="46">
        <f t="shared" si="0"/>
        <v>24160</v>
      </c>
      <c r="H21" s="313">
        <f t="shared" si="1"/>
        <v>18422</v>
      </c>
      <c r="I21" s="46">
        <f t="shared" si="2"/>
        <v>16579.8</v>
      </c>
      <c r="J21">
        <v>27950</v>
      </c>
      <c r="K21" s="310">
        <f t="shared" si="3"/>
        <v>8.0500894454382799E-2</v>
      </c>
    </row>
    <row r="22" spans="1:11" ht="25.5" customHeight="1" outlineLevel="1" x14ac:dyDescent="0.3">
      <c r="A22" s="396"/>
      <c r="B22" s="396"/>
      <c r="C22" s="404"/>
      <c r="D22" s="328">
        <v>2400</v>
      </c>
      <c r="E22" s="47">
        <v>0.4</v>
      </c>
      <c r="F22" s="46">
        <f>CEILING(F18*(1+E22), 50)</f>
        <v>32500</v>
      </c>
      <c r="G22" s="46">
        <f t="shared" ref="G22" si="5">F22*(1-$G$8)</f>
        <v>26000</v>
      </c>
      <c r="H22" s="73"/>
      <c r="I22" s="74"/>
      <c r="K22" s="310"/>
    </row>
    <row r="23" spans="1:11" ht="15.6" customHeight="1" x14ac:dyDescent="0.3">
      <c r="A23" s="36"/>
      <c r="B23" s="36"/>
      <c r="C23" s="36"/>
      <c r="D23" s="36"/>
      <c r="E23" s="36"/>
      <c r="F23" s="36"/>
      <c r="G23" s="36"/>
    </row>
    <row r="24" spans="1:11" ht="15.6" customHeight="1" x14ac:dyDescent="0.3">
      <c r="A24" s="164" t="s">
        <v>150</v>
      </c>
      <c r="B24" s="36"/>
      <c r="C24" s="36"/>
      <c r="D24" s="36"/>
      <c r="E24" s="36"/>
      <c r="F24" s="36"/>
      <c r="G24" s="36"/>
    </row>
    <row r="25" spans="1:11" ht="15.6" customHeight="1" x14ac:dyDescent="0.3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 x14ac:dyDescent="0.3">
      <c r="A26" s="408" t="s">
        <v>151</v>
      </c>
      <c r="B26" s="409"/>
      <c r="C26" s="409"/>
      <c r="D26" s="409"/>
      <c r="E26" s="409">
        <v>1.1000000000000001</v>
      </c>
      <c r="F26" s="409">
        <v>1.2</v>
      </c>
      <c r="G26" s="410">
        <v>1.45</v>
      </c>
    </row>
    <row r="27" spans="1:11" ht="15.6" customHeight="1" x14ac:dyDescent="0.3">
      <c r="A27" s="436" t="s">
        <v>175</v>
      </c>
      <c r="B27" s="436"/>
      <c r="C27" s="120"/>
      <c r="D27" s="437" t="s">
        <v>144</v>
      </c>
      <c r="E27" s="437"/>
      <c r="F27" s="437"/>
      <c r="G27" s="437"/>
      <c r="H27" s="107"/>
      <c r="I27" s="107"/>
    </row>
    <row r="28" spans="1:11" ht="36.75" customHeight="1" x14ac:dyDescent="0.3">
      <c r="A28" s="436"/>
      <c r="B28" s="436"/>
      <c r="C28" s="111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 x14ac:dyDescent="0.3">
      <c r="A29" s="438" t="s">
        <v>148</v>
      </c>
      <c r="B29" s="438"/>
      <c r="C29" s="50">
        <v>2000</v>
      </c>
      <c r="D29" s="46" t="str">
        <f>Slot!D29</f>
        <v>˅</v>
      </c>
      <c r="E29" s="46">
        <f>Slot!E29</f>
        <v>500</v>
      </c>
      <c r="F29" s="46">
        <f>Slot!F29</f>
        <v>1550</v>
      </c>
      <c r="G29" s="46">
        <f>Slot!G29</f>
        <v>2600</v>
      </c>
      <c r="H29" s="107"/>
      <c r="I29" s="107"/>
    </row>
    <row r="30" spans="1:11" ht="15.6" customHeight="1" outlineLevel="1" x14ac:dyDescent="0.3">
      <c r="A30" s="438"/>
      <c r="B30" s="438"/>
      <c r="C30" s="328">
        <v>2100</v>
      </c>
      <c r="D30" s="46" t="str">
        <f>Slot!D30</f>
        <v>˅</v>
      </c>
      <c r="E30" s="46">
        <f>Slot!E30</f>
        <v>550</v>
      </c>
      <c r="F30" s="46">
        <f>Slot!F30</f>
        <v>1704.9999999999995</v>
      </c>
      <c r="G30" s="46">
        <f>Slot!G30</f>
        <v>2860.0000000000005</v>
      </c>
      <c r="H30" s="107"/>
      <c r="I30" s="107"/>
    </row>
    <row r="31" spans="1:11" ht="15.6" customHeight="1" outlineLevel="1" x14ac:dyDescent="0.3">
      <c r="A31" s="438"/>
      <c r="B31" s="438"/>
      <c r="C31" s="328">
        <v>2200</v>
      </c>
      <c r="D31" s="46" t="str">
        <f>Slot!D31</f>
        <v>˅</v>
      </c>
      <c r="E31" s="46">
        <f>Slot!E31</f>
        <v>600</v>
      </c>
      <c r="F31" s="46">
        <f>Slot!F31</f>
        <v>1860</v>
      </c>
      <c r="G31" s="46">
        <f>Slot!G31</f>
        <v>3120</v>
      </c>
      <c r="H31" s="107"/>
      <c r="I31" s="107"/>
    </row>
    <row r="32" spans="1:11" ht="15.6" customHeight="1" outlineLevel="1" x14ac:dyDescent="0.3">
      <c r="A32" s="438"/>
      <c r="B32" s="438"/>
      <c r="C32" s="328">
        <v>2300</v>
      </c>
      <c r="D32" s="46" t="str">
        <f>Slot!D32</f>
        <v>˅</v>
      </c>
      <c r="E32" s="46">
        <f>Slot!E32</f>
        <v>650</v>
      </c>
      <c r="F32" s="46">
        <f>Slot!F32</f>
        <v>2015</v>
      </c>
      <c r="G32" s="46">
        <f>Slot!G32</f>
        <v>3380</v>
      </c>
      <c r="H32" s="107"/>
      <c r="I32" s="107"/>
    </row>
    <row r="33" spans="1:9" ht="15.6" customHeight="1" outlineLevel="1" x14ac:dyDescent="0.3">
      <c r="A33" s="438"/>
      <c r="B33" s="438"/>
      <c r="C33" s="328">
        <v>2400</v>
      </c>
      <c r="D33" s="46" t="str">
        <f>Slot!D33</f>
        <v>˅</v>
      </c>
      <c r="E33" s="46">
        <f>Slot!E33</f>
        <v>700.00000000000045</v>
      </c>
      <c r="F33" s="46">
        <f>Slot!F33</f>
        <v>2170.0000000000005</v>
      </c>
      <c r="G33" s="46">
        <f>Slot!G33</f>
        <v>3639.9999999999995</v>
      </c>
      <c r="H33" s="107"/>
      <c r="I33" s="107"/>
    </row>
    <row r="34" spans="1:9" ht="15.6" customHeight="1" x14ac:dyDescent="0.3">
      <c r="A34" s="438" t="s">
        <v>149</v>
      </c>
      <c r="B34" s="438"/>
      <c r="C34" s="50">
        <v>2000</v>
      </c>
      <c r="D34" s="46">
        <f>Slot!D34</f>
        <v>550</v>
      </c>
      <c r="E34" s="46">
        <f>Slot!E34</f>
        <v>550</v>
      </c>
      <c r="F34" s="46">
        <f>Slot!F34</f>
        <v>550</v>
      </c>
      <c r="G34" s="46">
        <f>Slot!G34</f>
        <v>550</v>
      </c>
      <c r="H34" s="107"/>
      <c r="I34" s="107"/>
    </row>
    <row r="35" spans="1:9" ht="15.6" customHeight="1" outlineLevel="1" x14ac:dyDescent="0.3">
      <c r="A35" s="438"/>
      <c r="B35" s="438"/>
      <c r="C35" s="328">
        <v>2100</v>
      </c>
      <c r="D35" s="46">
        <f>Slot!D35</f>
        <v>605</v>
      </c>
      <c r="E35" s="46">
        <f>Slot!E35</f>
        <v>605</v>
      </c>
      <c r="F35" s="46">
        <f>Slot!F35</f>
        <v>605</v>
      </c>
      <c r="G35" s="46">
        <f>Slot!G35</f>
        <v>605</v>
      </c>
      <c r="H35" s="107"/>
      <c r="I35" s="107"/>
    </row>
    <row r="36" spans="1:9" ht="15.6" customHeight="1" outlineLevel="1" x14ac:dyDescent="0.3">
      <c r="A36" s="438"/>
      <c r="B36" s="438"/>
      <c r="C36" s="328">
        <v>2200</v>
      </c>
      <c r="D36" s="46">
        <f>Slot!D36</f>
        <v>660</v>
      </c>
      <c r="E36" s="46">
        <f>Slot!E36</f>
        <v>660</v>
      </c>
      <c r="F36" s="46">
        <f>Slot!F36</f>
        <v>660</v>
      </c>
      <c r="G36" s="46">
        <f>Slot!G36</f>
        <v>660</v>
      </c>
      <c r="H36" s="107"/>
      <c r="I36" s="107"/>
    </row>
    <row r="37" spans="1:9" ht="15.6" customHeight="1" outlineLevel="1" x14ac:dyDescent="0.3">
      <c r="A37" s="438"/>
      <c r="B37" s="438"/>
      <c r="C37" s="328">
        <v>2300</v>
      </c>
      <c r="D37" s="46">
        <f>Slot!D37</f>
        <v>715</v>
      </c>
      <c r="E37" s="46">
        <f>Slot!E37</f>
        <v>715</v>
      </c>
      <c r="F37" s="46">
        <f>Slot!F37</f>
        <v>715</v>
      </c>
      <c r="G37" s="46">
        <f>Slot!G37</f>
        <v>715</v>
      </c>
      <c r="H37" s="107"/>
      <c r="I37" s="107"/>
    </row>
    <row r="38" spans="1:9" ht="15.6" customHeight="1" outlineLevel="1" x14ac:dyDescent="0.3">
      <c r="A38" s="438"/>
      <c r="B38" s="438"/>
      <c r="C38" s="328">
        <v>2400</v>
      </c>
      <c r="D38" s="46">
        <f>Slot!D38</f>
        <v>770.00000000000045</v>
      </c>
      <c r="E38" s="46">
        <f>Slot!E38</f>
        <v>770</v>
      </c>
      <c r="F38" s="46">
        <f>Slot!F38</f>
        <v>770</v>
      </c>
      <c r="G38" s="46">
        <f>Slot!G38</f>
        <v>770</v>
      </c>
      <c r="H38" s="107"/>
      <c r="I38" s="107"/>
    </row>
    <row r="39" spans="1:9" ht="15.6" customHeight="1" x14ac:dyDescent="0.3">
      <c r="A39" s="438" t="s">
        <v>162</v>
      </c>
      <c r="B39" s="438"/>
      <c r="C39" s="50">
        <v>2000</v>
      </c>
      <c r="D39" s="46">
        <f>Slot!D39</f>
        <v>1050</v>
      </c>
      <c r="E39" s="46">
        <f>Slot!E39</f>
        <v>1050</v>
      </c>
      <c r="F39" s="46">
        <f>Slot!F39</f>
        <v>1000</v>
      </c>
      <c r="G39" s="46">
        <f>Slot!G39</f>
        <v>1000</v>
      </c>
      <c r="H39" s="107"/>
      <c r="I39" s="107"/>
    </row>
    <row r="40" spans="1:9" ht="15.6" customHeight="1" outlineLevel="1" x14ac:dyDescent="0.3">
      <c r="A40" s="438"/>
      <c r="B40" s="438"/>
      <c r="C40" s="328">
        <v>2100</v>
      </c>
      <c r="D40" s="46">
        <f>Slot!D40</f>
        <v>1155</v>
      </c>
      <c r="E40" s="46">
        <f>Slot!E40</f>
        <v>1154.9999999999995</v>
      </c>
      <c r="F40" s="46">
        <f>Slot!F40</f>
        <v>1100.0000000000009</v>
      </c>
      <c r="G40" s="46">
        <f>Slot!G40</f>
        <v>1100</v>
      </c>
    </row>
    <row r="41" spans="1:9" ht="15.6" customHeight="1" outlineLevel="1" x14ac:dyDescent="0.3">
      <c r="A41" s="438"/>
      <c r="B41" s="438"/>
      <c r="C41" s="328">
        <v>2200</v>
      </c>
      <c r="D41" s="46">
        <f>Slot!D41</f>
        <v>1260</v>
      </c>
      <c r="E41" s="46">
        <f>Slot!E41</f>
        <v>1260</v>
      </c>
      <c r="F41" s="46">
        <f>Slot!F41</f>
        <v>1200</v>
      </c>
      <c r="G41" s="46">
        <f>Slot!G41</f>
        <v>1200</v>
      </c>
    </row>
    <row r="42" spans="1:9" ht="15.6" customHeight="1" outlineLevel="1" x14ac:dyDescent="0.3">
      <c r="A42" s="438"/>
      <c r="B42" s="438"/>
      <c r="C42" s="328">
        <v>2300</v>
      </c>
      <c r="D42" s="46">
        <f>Slot!D42</f>
        <v>1365</v>
      </c>
      <c r="E42" s="46">
        <f>Slot!E42</f>
        <v>1365</v>
      </c>
      <c r="F42" s="46">
        <f>Slot!F42</f>
        <v>1300</v>
      </c>
      <c r="G42" s="46">
        <f>Slot!G42</f>
        <v>1300</v>
      </c>
    </row>
    <row r="43" spans="1:9" ht="15.6" customHeight="1" outlineLevel="1" x14ac:dyDescent="0.3">
      <c r="A43" s="438"/>
      <c r="B43" s="438"/>
      <c r="C43" s="328">
        <v>2400</v>
      </c>
      <c r="D43" s="46">
        <f>Slot!D43</f>
        <v>1470.0000000000005</v>
      </c>
      <c r="E43" s="46">
        <f>Slot!E43</f>
        <v>1470</v>
      </c>
      <c r="F43" s="46">
        <f>Slot!F43</f>
        <v>1399.9999999999991</v>
      </c>
      <c r="G43" s="46">
        <f>Slot!G43</f>
        <v>1400.0000000000009</v>
      </c>
    </row>
    <row r="44" spans="1:9" ht="15.6" customHeight="1" x14ac:dyDescent="0.3">
      <c r="A44" s="63"/>
      <c r="B44" s="36"/>
      <c r="C44" s="36"/>
      <c r="D44" s="36"/>
      <c r="E44" s="36"/>
      <c r="F44" s="36"/>
      <c r="G44" s="36"/>
    </row>
    <row r="45" spans="1:9" ht="15.6" customHeight="1" x14ac:dyDescent="0.3">
      <c r="A45" s="408" t="s">
        <v>152</v>
      </c>
      <c r="B45" s="409"/>
      <c r="C45" s="409"/>
      <c r="D45" s="409"/>
      <c r="E45" s="409">
        <v>1.1000000000000001</v>
      </c>
      <c r="F45" s="409">
        <v>1.2</v>
      </c>
      <c r="G45" s="410">
        <v>1.45</v>
      </c>
    </row>
    <row r="46" spans="1:9" ht="15.6" customHeight="1" x14ac:dyDescent="0.3">
      <c r="A46" s="451" t="s">
        <v>83</v>
      </c>
      <c r="B46" s="452"/>
      <c r="C46" s="439" t="s">
        <v>153</v>
      </c>
      <c r="D46" s="440"/>
      <c r="E46" s="440"/>
      <c r="F46" s="440"/>
      <c r="G46" s="440"/>
      <c r="H46" s="107"/>
      <c r="I46" s="107"/>
    </row>
    <row r="47" spans="1:9" ht="21.75" customHeight="1" x14ac:dyDescent="0.3">
      <c r="A47" s="453"/>
      <c r="B47" s="454"/>
      <c r="C47" s="113" t="s">
        <v>65</v>
      </c>
      <c r="D47" s="113" t="s">
        <v>66</v>
      </c>
      <c r="E47" s="211" t="s">
        <v>155</v>
      </c>
      <c r="F47" s="211" t="s">
        <v>156</v>
      </c>
      <c r="G47" s="211" t="s">
        <v>157</v>
      </c>
      <c r="H47" s="107"/>
      <c r="I47" s="107"/>
    </row>
    <row r="48" spans="1:9" ht="26.25" customHeight="1" x14ac:dyDescent="0.3">
      <c r="A48" s="442" t="s">
        <v>186</v>
      </c>
      <c r="B48" s="443"/>
      <c r="C48" s="146" t="s">
        <v>185</v>
      </c>
      <c r="D48" s="145" t="s">
        <v>399</v>
      </c>
      <c r="E48" s="46">
        <v>1000</v>
      </c>
      <c r="F48" s="46">
        <v>1500</v>
      </c>
      <c r="G48" s="46">
        <v>1500</v>
      </c>
      <c r="H48" s="107"/>
      <c r="I48" s="107"/>
    </row>
    <row r="49" spans="1:15" ht="15.6" customHeight="1" x14ac:dyDescent="0.3">
      <c r="A49" s="118"/>
      <c r="B49" s="119"/>
      <c r="C49" s="439" t="s">
        <v>159</v>
      </c>
      <c r="D49" s="440"/>
      <c r="E49" s="440"/>
      <c r="F49" s="440"/>
      <c r="G49" s="441"/>
      <c r="H49" s="107"/>
      <c r="I49" s="107"/>
    </row>
    <row r="50" spans="1:15" ht="26.25" customHeight="1" x14ac:dyDescent="0.3">
      <c r="A50" s="442" t="s">
        <v>186</v>
      </c>
      <c r="B50" s="443"/>
      <c r="C50" s="146" t="s">
        <v>185</v>
      </c>
      <c r="D50" s="145" t="s">
        <v>399</v>
      </c>
      <c r="E50" s="46">
        <v>1500</v>
      </c>
      <c r="F50" s="46">
        <v>2000</v>
      </c>
      <c r="G50" s="46">
        <v>2000</v>
      </c>
      <c r="H50" s="107"/>
      <c r="I50" s="107"/>
    </row>
    <row r="51" spans="1:15" ht="15.6" customHeight="1" x14ac:dyDescent="0.3">
      <c r="A51" s="114"/>
      <c r="B51" s="115"/>
      <c r="C51" s="439" t="s">
        <v>324</v>
      </c>
      <c r="D51" s="440"/>
      <c r="E51" s="440"/>
      <c r="F51" s="440"/>
      <c r="G51" s="441"/>
      <c r="H51" s="107"/>
      <c r="I51" s="107"/>
    </row>
    <row r="52" spans="1:15" ht="60.75" customHeight="1" x14ac:dyDescent="0.3">
      <c r="A52" s="116"/>
      <c r="B52" s="117"/>
      <c r="C52" s="113" t="s">
        <v>65</v>
      </c>
      <c r="D52" s="113" t="s">
        <v>66</v>
      </c>
      <c r="E52" s="211" t="s">
        <v>325</v>
      </c>
      <c r="F52" s="211" t="s">
        <v>391</v>
      </c>
      <c r="G52" s="212" t="s">
        <v>158</v>
      </c>
      <c r="H52" s="107"/>
      <c r="I52" s="107"/>
    </row>
    <row r="53" spans="1:15" ht="24.75" customHeight="1" x14ac:dyDescent="0.3">
      <c r="A53" s="396" t="s">
        <v>187</v>
      </c>
      <c r="B53" s="396"/>
      <c r="C53" s="213" t="s">
        <v>185</v>
      </c>
      <c r="D53" s="50" t="s">
        <v>399</v>
      </c>
      <c r="E53" s="285" t="s">
        <v>368</v>
      </c>
      <c r="F53" s="46">
        <v>500</v>
      </c>
      <c r="G53" s="256">
        <v>1000</v>
      </c>
      <c r="H53" s="107"/>
      <c r="I53" s="107"/>
    </row>
    <row r="54" spans="1:15" ht="15.6" customHeight="1" x14ac:dyDescent="0.3">
      <c r="A54" s="105" t="s">
        <v>142</v>
      </c>
      <c r="B54" s="36"/>
      <c r="C54" s="36"/>
      <c r="D54" s="36"/>
      <c r="E54" s="36"/>
      <c r="F54" s="36"/>
      <c r="G54" s="36"/>
    </row>
    <row r="55" spans="1:15" ht="15.6" customHeight="1" x14ac:dyDescent="0.3">
      <c r="A55" s="284" t="s">
        <v>361</v>
      </c>
      <c r="B55" s="36"/>
      <c r="C55" s="36"/>
      <c r="D55" s="36"/>
      <c r="E55" s="36"/>
      <c r="F55" s="36"/>
      <c r="G55" s="36"/>
    </row>
    <row r="56" spans="1:15" ht="15.6" customHeight="1" x14ac:dyDescent="0.3">
      <c r="A56" s="407" t="s">
        <v>138</v>
      </c>
      <c r="B56" s="407"/>
      <c r="C56" s="407"/>
      <c r="D56" s="407"/>
      <c r="E56" s="407"/>
      <c r="F56" s="407"/>
      <c r="G56" s="407"/>
    </row>
    <row r="57" spans="1:15" ht="15.6" customHeight="1" x14ac:dyDescent="0.3">
      <c r="A57" s="403" t="s">
        <v>84</v>
      </c>
      <c r="B57" s="403"/>
      <c r="C57" s="403" t="s">
        <v>68</v>
      </c>
      <c r="D57" s="403"/>
      <c r="E57" s="403"/>
      <c r="F57" s="403"/>
      <c r="G57" s="403"/>
    </row>
    <row r="58" spans="1:15" ht="24" customHeight="1" x14ac:dyDescent="0.3">
      <c r="A58" s="403"/>
      <c r="B58" s="403"/>
      <c r="C58" s="113" t="s">
        <v>65</v>
      </c>
      <c r="D58" s="113" t="s">
        <v>66</v>
      </c>
      <c r="E58" s="113" t="s">
        <v>166</v>
      </c>
      <c r="F58" s="111" t="s">
        <v>163</v>
      </c>
      <c r="G58" s="113" t="s">
        <v>88</v>
      </c>
    </row>
    <row r="59" spans="1:15" s="49" customFormat="1" ht="27" customHeight="1" x14ac:dyDescent="0.3">
      <c r="A59" s="396" t="s">
        <v>187</v>
      </c>
      <c r="B59" s="325" t="s">
        <v>137</v>
      </c>
      <c r="C59" s="404" t="s">
        <v>67</v>
      </c>
      <c r="D59" s="50">
        <v>2000</v>
      </c>
      <c r="E59" s="48">
        <f>Fusion!E31</f>
        <v>7450</v>
      </c>
      <c r="F59" s="48">
        <f>F13+E59</f>
        <v>28530</v>
      </c>
      <c r="G59" s="48">
        <f t="shared" ref="G59:G68" si="6">G13+E59</f>
        <v>24314</v>
      </c>
      <c r="J59"/>
      <c r="K59"/>
      <c r="L59"/>
      <c r="M59"/>
      <c r="N59"/>
      <c r="O59"/>
    </row>
    <row r="60" spans="1:15" ht="25.5" customHeight="1" outlineLevel="1" x14ac:dyDescent="0.3">
      <c r="A60" s="396"/>
      <c r="B60" s="402" t="s">
        <v>85</v>
      </c>
      <c r="C60" s="404"/>
      <c r="D60" s="328">
        <v>2100</v>
      </c>
      <c r="E60" s="48">
        <f>Fusion!E32</f>
        <v>8200</v>
      </c>
      <c r="F60" s="46">
        <f>F14+E60</f>
        <v>31400</v>
      </c>
      <c r="G60" s="46">
        <f t="shared" si="6"/>
        <v>26760</v>
      </c>
    </row>
    <row r="61" spans="1:15" ht="25.5" customHeight="1" outlineLevel="1" x14ac:dyDescent="0.3">
      <c r="A61" s="396"/>
      <c r="B61" s="402"/>
      <c r="C61" s="404"/>
      <c r="D61" s="328">
        <v>2200</v>
      </c>
      <c r="E61" s="48">
        <f>Fusion!E33</f>
        <v>8200</v>
      </c>
      <c r="F61" s="46">
        <f t="shared" ref="F61:F63" si="7">F15+E61</f>
        <v>33500</v>
      </c>
      <c r="G61" s="46">
        <f t="shared" si="6"/>
        <v>28440</v>
      </c>
    </row>
    <row r="62" spans="1:15" ht="25.5" customHeight="1" outlineLevel="1" x14ac:dyDescent="0.3">
      <c r="A62" s="396"/>
      <c r="B62" s="325" t="s">
        <v>86</v>
      </c>
      <c r="C62" s="404"/>
      <c r="D62" s="328">
        <v>2300</v>
      </c>
      <c r="E62" s="48">
        <f>Fusion!E34</f>
        <v>9100</v>
      </c>
      <c r="F62" s="46">
        <f t="shared" si="7"/>
        <v>36550</v>
      </c>
      <c r="G62" s="46">
        <f t="shared" si="6"/>
        <v>31060</v>
      </c>
    </row>
    <row r="63" spans="1:15" ht="25.5" customHeight="1" outlineLevel="1" x14ac:dyDescent="0.3">
      <c r="A63" s="396"/>
      <c r="B63" s="325" t="s">
        <v>395</v>
      </c>
      <c r="C63" s="404"/>
      <c r="D63" s="328">
        <v>2400</v>
      </c>
      <c r="E63" s="48">
        <f>Fusion!E35</f>
        <v>9700</v>
      </c>
      <c r="F63" s="46">
        <f t="shared" si="7"/>
        <v>39250</v>
      </c>
      <c r="G63" s="46">
        <f t="shared" si="6"/>
        <v>33340</v>
      </c>
    </row>
    <row r="64" spans="1:15" s="49" customFormat="1" ht="27" customHeight="1" x14ac:dyDescent="0.3">
      <c r="A64" s="396"/>
      <c r="B64" s="325" t="s">
        <v>137</v>
      </c>
      <c r="C64" s="404">
        <v>900</v>
      </c>
      <c r="D64" s="50">
        <v>2000</v>
      </c>
      <c r="E64" s="48">
        <f>Fusion!E36</f>
        <v>7450</v>
      </c>
      <c r="F64" s="48">
        <f>F18+E64</f>
        <v>30650</v>
      </c>
      <c r="G64" s="48">
        <f t="shared" si="6"/>
        <v>26010</v>
      </c>
      <c r="J64"/>
      <c r="K64"/>
      <c r="L64"/>
      <c r="M64"/>
      <c r="N64"/>
      <c r="O64"/>
    </row>
    <row r="65" spans="1:15" ht="25.5" customHeight="1" outlineLevel="1" x14ac:dyDescent="0.3">
      <c r="A65" s="396"/>
      <c r="B65" s="402" t="s">
        <v>85</v>
      </c>
      <c r="C65" s="404"/>
      <c r="D65" s="328">
        <v>2100</v>
      </c>
      <c r="E65" s="48">
        <f>Fusion!E37</f>
        <v>8200</v>
      </c>
      <c r="F65" s="46">
        <f>F19+E65</f>
        <v>33750</v>
      </c>
      <c r="G65" s="46">
        <f t="shared" si="6"/>
        <v>28640</v>
      </c>
    </row>
    <row r="66" spans="1:15" ht="25.5" customHeight="1" outlineLevel="1" x14ac:dyDescent="0.3">
      <c r="A66" s="396"/>
      <c r="B66" s="402"/>
      <c r="C66" s="404"/>
      <c r="D66" s="328">
        <v>2200</v>
      </c>
      <c r="E66" s="48">
        <f>Fusion!E38</f>
        <v>8200</v>
      </c>
      <c r="F66" s="46">
        <f>F20+E66</f>
        <v>36050</v>
      </c>
      <c r="G66" s="46">
        <f t="shared" si="6"/>
        <v>30480</v>
      </c>
    </row>
    <row r="67" spans="1:15" ht="25.5" customHeight="1" outlineLevel="1" x14ac:dyDescent="0.3">
      <c r="A67" s="396"/>
      <c r="B67" s="325" t="s">
        <v>86</v>
      </c>
      <c r="C67" s="404"/>
      <c r="D67" s="328">
        <v>2300</v>
      </c>
      <c r="E67" s="48">
        <f>Fusion!E39</f>
        <v>9100</v>
      </c>
      <c r="F67" s="46">
        <f t="shared" ref="F67:F68" si="8">F21+E67</f>
        <v>39300</v>
      </c>
      <c r="G67" s="46">
        <f t="shared" si="6"/>
        <v>33260</v>
      </c>
    </row>
    <row r="68" spans="1:15" ht="25.5" customHeight="1" outlineLevel="1" x14ac:dyDescent="0.3">
      <c r="A68" s="396"/>
      <c r="B68" s="325" t="str">
        <f>B63</f>
        <v>Короб L (В=2700) 
Наличник L 75/10 (В=2700)</v>
      </c>
      <c r="C68" s="404"/>
      <c r="D68" s="328">
        <v>2400</v>
      </c>
      <c r="E68" s="48">
        <f>Fusion!E40</f>
        <v>9700</v>
      </c>
      <c r="F68" s="46">
        <f t="shared" si="8"/>
        <v>42200</v>
      </c>
      <c r="G68" s="46">
        <f t="shared" si="6"/>
        <v>35700</v>
      </c>
    </row>
    <row r="69" spans="1:15" x14ac:dyDescent="0.3">
      <c r="A69" s="412"/>
      <c r="B69" s="412"/>
      <c r="C69" s="37"/>
      <c r="D69" s="54"/>
      <c r="E69" s="457"/>
      <c r="F69" s="457"/>
      <c r="G69" s="457"/>
    </row>
    <row r="70" spans="1:15" ht="15.6" customHeight="1" x14ac:dyDescent="0.3">
      <c r="A70" s="407" t="s">
        <v>164</v>
      </c>
      <c r="B70" s="407"/>
      <c r="C70" s="407"/>
      <c r="D70" s="407"/>
      <c r="E70" s="407"/>
      <c r="F70" s="407"/>
      <c r="G70" s="407"/>
    </row>
    <row r="71" spans="1:15" ht="15.6" customHeight="1" x14ac:dyDescent="0.3">
      <c r="A71" s="403" t="s">
        <v>165</v>
      </c>
      <c r="B71" s="403"/>
      <c r="C71" s="403" t="s">
        <v>68</v>
      </c>
      <c r="D71" s="403"/>
      <c r="E71" s="403"/>
      <c r="F71" s="403"/>
      <c r="G71" s="403"/>
    </row>
    <row r="72" spans="1:15" ht="24" customHeight="1" x14ac:dyDescent="0.3">
      <c r="A72" s="403"/>
      <c r="B72" s="403"/>
      <c r="C72" s="113" t="s">
        <v>65</v>
      </c>
      <c r="D72" s="113" t="s">
        <v>66</v>
      </c>
      <c r="E72" s="113" t="s">
        <v>166</v>
      </c>
      <c r="F72" s="111" t="s">
        <v>87</v>
      </c>
      <c r="G72" s="113" t="s">
        <v>88</v>
      </c>
    </row>
    <row r="73" spans="1:15" s="49" customFormat="1" ht="27" customHeight="1" x14ac:dyDescent="0.3">
      <c r="A73" s="396" t="s">
        <v>187</v>
      </c>
      <c r="B73" s="325" t="s">
        <v>137</v>
      </c>
      <c r="C73" s="404" t="s">
        <v>67</v>
      </c>
      <c r="D73" s="50">
        <v>2000</v>
      </c>
      <c r="E73" s="48">
        <f>Fusion!E45</f>
        <v>9800</v>
      </c>
      <c r="F73" s="48">
        <f>F13+E73</f>
        <v>30880</v>
      </c>
      <c r="G73" s="48">
        <f>G13+E73</f>
        <v>26664</v>
      </c>
      <c r="J73"/>
      <c r="K73"/>
      <c r="L73"/>
      <c r="M73"/>
      <c r="N73"/>
      <c r="O73"/>
    </row>
    <row r="74" spans="1:15" ht="25.5" customHeight="1" outlineLevel="1" x14ac:dyDescent="0.3">
      <c r="A74" s="396"/>
      <c r="B74" s="402" t="s">
        <v>85</v>
      </c>
      <c r="C74" s="404"/>
      <c r="D74" s="328">
        <v>2100</v>
      </c>
      <c r="E74" s="46">
        <f>Fusion!E46</f>
        <v>10800</v>
      </c>
      <c r="F74" s="46">
        <f t="shared" ref="F74:F77" si="9">F14+E74</f>
        <v>34000</v>
      </c>
      <c r="G74" s="46">
        <f t="shared" ref="G74:G77" si="10">G14+E74</f>
        <v>29360</v>
      </c>
    </row>
    <row r="75" spans="1:15" ht="25.5" customHeight="1" outlineLevel="1" x14ac:dyDescent="0.3">
      <c r="A75" s="396"/>
      <c r="B75" s="402"/>
      <c r="C75" s="404"/>
      <c r="D75" s="328">
        <v>2200</v>
      </c>
      <c r="E75" s="46">
        <f>Fusion!E47</f>
        <v>10800</v>
      </c>
      <c r="F75" s="46">
        <f t="shared" si="9"/>
        <v>36100</v>
      </c>
      <c r="G75" s="46">
        <f t="shared" si="10"/>
        <v>31040</v>
      </c>
    </row>
    <row r="76" spans="1:15" ht="25.5" customHeight="1" outlineLevel="1" x14ac:dyDescent="0.3">
      <c r="A76" s="396"/>
      <c r="B76" s="325" t="s">
        <v>86</v>
      </c>
      <c r="C76" s="404"/>
      <c r="D76" s="328">
        <v>2300</v>
      </c>
      <c r="E76" s="46">
        <f>Fusion!E48</f>
        <v>11700</v>
      </c>
      <c r="F76" s="46">
        <f t="shared" si="9"/>
        <v>39150</v>
      </c>
      <c r="G76" s="46">
        <f t="shared" si="10"/>
        <v>33660</v>
      </c>
    </row>
    <row r="77" spans="1:15" ht="25.5" customHeight="1" outlineLevel="1" x14ac:dyDescent="0.3">
      <c r="A77" s="396"/>
      <c r="B77" s="325" t="str">
        <f>B68</f>
        <v>Короб L (В=2700) 
Наличник L 75/10 (В=2700)</v>
      </c>
      <c r="C77" s="404"/>
      <c r="D77" s="328">
        <v>2400</v>
      </c>
      <c r="E77" s="46">
        <f>Fusion!E49</f>
        <v>12775</v>
      </c>
      <c r="F77" s="46">
        <f t="shared" si="9"/>
        <v>42325</v>
      </c>
      <c r="G77" s="46">
        <f t="shared" si="10"/>
        <v>36415</v>
      </c>
    </row>
    <row r="78" spans="1:15" s="49" customFormat="1" ht="27" customHeight="1" x14ac:dyDescent="0.3">
      <c r="A78" s="396"/>
      <c r="B78" s="325" t="s">
        <v>137</v>
      </c>
      <c r="C78" s="404">
        <v>900</v>
      </c>
      <c r="D78" s="50">
        <v>2000</v>
      </c>
      <c r="E78" s="48">
        <f>Fusion!E50</f>
        <v>9800</v>
      </c>
      <c r="F78" s="48">
        <f>F18+E78</f>
        <v>33000</v>
      </c>
      <c r="G78" s="48">
        <f>G18+E78</f>
        <v>28360</v>
      </c>
      <c r="J78"/>
      <c r="K78"/>
      <c r="L78"/>
      <c r="M78"/>
      <c r="N78"/>
      <c r="O78"/>
    </row>
    <row r="79" spans="1:15" ht="25.5" customHeight="1" outlineLevel="1" x14ac:dyDescent="0.3">
      <c r="A79" s="396"/>
      <c r="B79" s="402" t="s">
        <v>85</v>
      </c>
      <c r="C79" s="404"/>
      <c r="D79" s="328">
        <v>2100</v>
      </c>
      <c r="E79" s="46">
        <f>Fusion!E51</f>
        <v>10800</v>
      </c>
      <c r="F79" s="46">
        <f t="shared" ref="F79:F82" si="11">F19+E79</f>
        <v>36350</v>
      </c>
      <c r="G79" s="46">
        <f t="shared" ref="G79:G82" si="12">G19+E79</f>
        <v>31240</v>
      </c>
    </row>
    <row r="80" spans="1:15" ht="25.5" customHeight="1" outlineLevel="1" x14ac:dyDescent="0.3">
      <c r="A80" s="396"/>
      <c r="B80" s="402"/>
      <c r="C80" s="404"/>
      <c r="D80" s="328">
        <v>2200</v>
      </c>
      <c r="E80" s="46">
        <f>Fusion!E52</f>
        <v>10800</v>
      </c>
      <c r="F80" s="46">
        <f t="shared" si="11"/>
        <v>38650</v>
      </c>
      <c r="G80" s="46">
        <f t="shared" si="12"/>
        <v>33080</v>
      </c>
    </row>
    <row r="81" spans="1:15" ht="25.5" customHeight="1" outlineLevel="1" x14ac:dyDescent="0.3">
      <c r="A81" s="396"/>
      <c r="B81" s="325" t="s">
        <v>86</v>
      </c>
      <c r="C81" s="404"/>
      <c r="D81" s="328">
        <v>2300</v>
      </c>
      <c r="E81" s="46">
        <f>Fusion!E53</f>
        <v>11700</v>
      </c>
      <c r="F81" s="46">
        <f t="shared" si="11"/>
        <v>41900</v>
      </c>
      <c r="G81" s="46">
        <f t="shared" si="12"/>
        <v>35860</v>
      </c>
    </row>
    <row r="82" spans="1:15" ht="25.5" customHeight="1" outlineLevel="1" x14ac:dyDescent="0.3">
      <c r="A82" s="396"/>
      <c r="B82" s="325" t="str">
        <f>B68</f>
        <v>Короб L (В=2700) 
Наличник L 75/10 (В=2700)</v>
      </c>
      <c r="C82" s="404"/>
      <c r="D82" s="328">
        <v>2400</v>
      </c>
      <c r="E82" s="46">
        <f>Fusion!E54</f>
        <v>12775</v>
      </c>
      <c r="F82" s="46">
        <f t="shared" si="11"/>
        <v>45275</v>
      </c>
      <c r="G82" s="46">
        <f t="shared" si="12"/>
        <v>38775</v>
      </c>
    </row>
    <row r="83" spans="1:15" ht="12.75" customHeight="1" x14ac:dyDescent="0.3">
      <c r="A83" s="41"/>
      <c r="B83" s="41"/>
      <c r="C83" s="41"/>
      <c r="D83" s="41"/>
      <c r="E83" s="41"/>
      <c r="F83" s="41"/>
      <c r="G83" s="41"/>
    </row>
    <row r="84" spans="1:15" ht="15.6" customHeight="1" x14ac:dyDescent="0.3">
      <c r="A84" s="407" t="s">
        <v>174</v>
      </c>
      <c r="B84" s="407"/>
      <c r="C84" s="407"/>
      <c r="D84" s="407"/>
      <c r="E84" s="407"/>
      <c r="F84" s="407"/>
      <c r="G84" s="407"/>
    </row>
    <row r="85" spans="1:15" ht="15.6" customHeight="1" x14ac:dyDescent="0.3">
      <c r="A85" s="403" t="s">
        <v>366</v>
      </c>
      <c r="B85" s="403"/>
      <c r="C85" s="403" t="s">
        <v>68</v>
      </c>
      <c r="D85" s="403"/>
      <c r="E85" s="403"/>
      <c r="F85" s="403"/>
      <c r="G85" s="403"/>
    </row>
    <row r="86" spans="1:15" ht="24" customHeight="1" x14ac:dyDescent="0.3">
      <c r="A86" s="403"/>
      <c r="B86" s="403"/>
      <c r="C86" s="113" t="s">
        <v>65</v>
      </c>
      <c r="D86" s="113" t="s">
        <v>66</v>
      </c>
      <c r="E86" s="113" t="s">
        <v>166</v>
      </c>
      <c r="F86" s="111" t="s">
        <v>163</v>
      </c>
      <c r="G86" s="113" t="s">
        <v>88</v>
      </c>
    </row>
    <row r="87" spans="1:15" s="49" customFormat="1" ht="27" customHeight="1" x14ac:dyDescent="0.3">
      <c r="A87" s="396" t="s">
        <v>187</v>
      </c>
      <c r="B87" s="325" t="s">
        <v>365</v>
      </c>
      <c r="C87" s="404" t="s">
        <v>67</v>
      </c>
      <c r="D87" s="50">
        <v>2000</v>
      </c>
      <c r="E87" s="48">
        <f>'Porte39-00'!E79</f>
        <v>13850</v>
      </c>
      <c r="F87" s="48">
        <f>F13+E87+F100+$F$105</f>
        <v>43450</v>
      </c>
      <c r="G87" s="48">
        <f>G13+E87+F100+$F$105</f>
        <v>39234</v>
      </c>
      <c r="J87"/>
      <c r="K87"/>
      <c r="L87"/>
      <c r="M87"/>
      <c r="N87"/>
      <c r="O87"/>
    </row>
    <row r="88" spans="1:15" ht="25.5" customHeight="1" outlineLevel="1" x14ac:dyDescent="0.3">
      <c r="A88" s="396"/>
      <c r="B88" s="402" t="s">
        <v>365</v>
      </c>
      <c r="C88" s="404"/>
      <c r="D88" s="328">
        <v>2100</v>
      </c>
      <c r="E88" s="46">
        <f>'Porte39-00'!E80</f>
        <v>13850</v>
      </c>
      <c r="F88" s="46">
        <f t="shared" ref="F88:F91" si="13">F14+E88+F101+$F$105</f>
        <v>45570</v>
      </c>
      <c r="G88" s="46">
        <f t="shared" ref="G88:G91" si="14">G14+E88+F101+$F$105</f>
        <v>40930</v>
      </c>
    </row>
    <row r="89" spans="1:15" ht="25.5" customHeight="1" outlineLevel="1" x14ac:dyDescent="0.3">
      <c r="A89" s="396"/>
      <c r="B89" s="402"/>
      <c r="C89" s="404"/>
      <c r="D89" s="328">
        <v>2200</v>
      </c>
      <c r="E89" s="46">
        <f>'Porte39-00'!E81</f>
        <v>15125</v>
      </c>
      <c r="F89" s="46">
        <f t="shared" si="13"/>
        <v>48945</v>
      </c>
      <c r="G89" s="46">
        <f t="shared" si="14"/>
        <v>43885</v>
      </c>
    </row>
    <row r="90" spans="1:15" ht="25.5" customHeight="1" outlineLevel="1" x14ac:dyDescent="0.3">
      <c r="A90" s="396"/>
      <c r="B90" s="325" t="s">
        <v>365</v>
      </c>
      <c r="C90" s="404"/>
      <c r="D90" s="328">
        <v>2300</v>
      </c>
      <c r="E90" s="46">
        <f>'Porte39-00'!E82</f>
        <v>15125</v>
      </c>
      <c r="F90" s="46">
        <f t="shared" si="13"/>
        <v>54515</v>
      </c>
      <c r="G90" s="46">
        <f t="shared" si="14"/>
        <v>49025</v>
      </c>
    </row>
    <row r="91" spans="1:15" ht="25.5" customHeight="1" outlineLevel="1" x14ac:dyDescent="0.3">
      <c r="A91" s="396"/>
      <c r="B91" s="325" t="s">
        <v>365</v>
      </c>
      <c r="C91" s="404"/>
      <c r="D91" s="328">
        <v>2400</v>
      </c>
      <c r="E91" s="46">
        <f>'Porte39-00'!E83</f>
        <v>17753</v>
      </c>
      <c r="F91" s="46">
        <f t="shared" si="13"/>
        <v>59243</v>
      </c>
      <c r="G91" s="46">
        <f t="shared" si="14"/>
        <v>53333</v>
      </c>
    </row>
    <row r="92" spans="1:15" s="49" customFormat="1" ht="27" customHeight="1" x14ac:dyDescent="0.3">
      <c r="A92" s="396"/>
      <c r="B92" s="325" t="s">
        <v>365</v>
      </c>
      <c r="C92" s="404">
        <v>900</v>
      </c>
      <c r="D92" s="50">
        <v>2000</v>
      </c>
      <c r="E92" s="48">
        <f>E87</f>
        <v>13850</v>
      </c>
      <c r="F92" s="48">
        <f>F18+E92+F100+$F$105</f>
        <v>45570</v>
      </c>
      <c r="G92" s="48">
        <f>G18+E92+F100+$F$105</f>
        <v>40930</v>
      </c>
      <c r="J92"/>
      <c r="K92"/>
      <c r="L92"/>
      <c r="M92"/>
      <c r="N92"/>
      <c r="O92"/>
    </row>
    <row r="93" spans="1:15" ht="25.5" customHeight="1" outlineLevel="1" x14ac:dyDescent="0.3">
      <c r="A93" s="396"/>
      <c r="B93" s="402" t="s">
        <v>365</v>
      </c>
      <c r="C93" s="404"/>
      <c r="D93" s="328">
        <v>2100</v>
      </c>
      <c r="E93" s="46">
        <f>E88</f>
        <v>13850</v>
      </c>
      <c r="F93" s="46">
        <f t="shared" ref="F93:F96" si="15">F19+E93+F101+$F$105</f>
        <v>47920</v>
      </c>
      <c r="G93" s="46">
        <f t="shared" ref="G93:G96" si="16">G19+E93+F101+$F$105</f>
        <v>42810</v>
      </c>
    </row>
    <row r="94" spans="1:15" ht="25.5" customHeight="1" outlineLevel="1" x14ac:dyDescent="0.3">
      <c r="A94" s="396"/>
      <c r="B94" s="402"/>
      <c r="C94" s="404"/>
      <c r="D94" s="328">
        <v>2200</v>
      </c>
      <c r="E94" s="46">
        <f t="shared" ref="E94:E95" si="17">E89</f>
        <v>15125</v>
      </c>
      <c r="F94" s="46">
        <f t="shared" si="15"/>
        <v>51495</v>
      </c>
      <c r="G94" s="46">
        <f t="shared" si="16"/>
        <v>45925</v>
      </c>
    </row>
    <row r="95" spans="1:15" ht="25.5" customHeight="1" outlineLevel="1" x14ac:dyDescent="0.3">
      <c r="A95" s="396"/>
      <c r="B95" s="325" t="s">
        <v>365</v>
      </c>
      <c r="C95" s="404"/>
      <c r="D95" s="328">
        <v>2300</v>
      </c>
      <c r="E95" s="46">
        <f t="shared" si="17"/>
        <v>15125</v>
      </c>
      <c r="F95" s="46">
        <f t="shared" si="15"/>
        <v>57265</v>
      </c>
      <c r="G95" s="46">
        <f t="shared" si="16"/>
        <v>51225</v>
      </c>
    </row>
    <row r="96" spans="1:15" ht="25.5" customHeight="1" outlineLevel="1" x14ac:dyDescent="0.3">
      <c r="A96" s="396"/>
      <c r="B96" s="325" t="s">
        <v>365</v>
      </c>
      <c r="C96" s="404"/>
      <c r="D96" s="328">
        <v>2400</v>
      </c>
      <c r="E96" s="46">
        <f>E91</f>
        <v>17753</v>
      </c>
      <c r="F96" s="46">
        <f t="shared" si="15"/>
        <v>62193</v>
      </c>
      <c r="G96" s="46">
        <f t="shared" si="16"/>
        <v>55693</v>
      </c>
    </row>
    <row r="97" spans="1:10" x14ac:dyDescent="0.3">
      <c r="A97" s="412"/>
      <c r="B97" s="412"/>
      <c r="C97" s="37"/>
      <c r="D97" s="54"/>
      <c r="E97" s="54"/>
      <c r="F97" s="54"/>
      <c r="G97" s="54"/>
    </row>
    <row r="98" spans="1:10" x14ac:dyDescent="0.3">
      <c r="A98" s="109" t="s">
        <v>384</v>
      </c>
      <c r="B98" s="53"/>
      <c r="C98" s="37"/>
      <c r="D98" s="54"/>
      <c r="E98" s="54"/>
      <c r="F98" s="54"/>
      <c r="G98" s="54"/>
      <c r="H98" s="54"/>
      <c r="I98" s="54"/>
      <c r="J98" s="54"/>
    </row>
    <row r="99" spans="1:10" ht="36" customHeight="1" x14ac:dyDescent="0.3">
      <c r="A99" s="417" t="s">
        <v>169</v>
      </c>
      <c r="B99" s="418"/>
      <c r="C99" s="113" t="s">
        <v>173</v>
      </c>
      <c r="D99" s="113" t="s">
        <v>66</v>
      </c>
      <c r="E99" s="113" t="s">
        <v>172</v>
      </c>
      <c r="F99" s="113" t="s">
        <v>108</v>
      </c>
      <c r="G99" s="54"/>
    </row>
    <row r="100" spans="1:10" x14ac:dyDescent="0.3">
      <c r="A100" s="422" t="s">
        <v>168</v>
      </c>
      <c r="B100" s="422" t="s">
        <v>167</v>
      </c>
      <c r="C100" s="425">
        <v>3420</v>
      </c>
      <c r="D100" s="50">
        <v>2000</v>
      </c>
      <c r="E100" s="128">
        <v>2</v>
      </c>
      <c r="F100" s="48">
        <f>$C$100*E100</f>
        <v>6840</v>
      </c>
      <c r="G100" s="54"/>
    </row>
    <row r="101" spans="1:10" x14ac:dyDescent="0.3">
      <c r="A101" s="423"/>
      <c r="B101" s="423"/>
      <c r="C101" s="426"/>
      <c r="D101" s="45">
        <v>2100</v>
      </c>
      <c r="E101" s="128">
        <v>2</v>
      </c>
      <c r="F101" s="46">
        <f t="shared" ref="F101:F104" si="18">$C$100*E101</f>
        <v>6840</v>
      </c>
      <c r="G101" s="54"/>
    </row>
    <row r="102" spans="1:10" x14ac:dyDescent="0.3">
      <c r="A102" s="423"/>
      <c r="B102" s="423"/>
      <c r="C102" s="426"/>
      <c r="D102" s="45">
        <v>2200</v>
      </c>
      <c r="E102" s="128">
        <v>2</v>
      </c>
      <c r="F102" s="46">
        <f t="shared" si="18"/>
        <v>6840</v>
      </c>
      <c r="G102" s="54"/>
    </row>
    <row r="103" spans="1:10" x14ac:dyDescent="0.3">
      <c r="A103" s="423"/>
      <c r="B103" s="423"/>
      <c r="C103" s="426"/>
      <c r="D103" s="45">
        <v>2300</v>
      </c>
      <c r="E103" s="128">
        <v>3</v>
      </c>
      <c r="F103" s="46">
        <f t="shared" si="18"/>
        <v>10260</v>
      </c>
      <c r="G103" s="54"/>
    </row>
    <row r="104" spans="1:10" x14ac:dyDescent="0.3">
      <c r="A104" s="424"/>
      <c r="B104" s="424"/>
      <c r="C104" s="427"/>
      <c r="D104" s="328">
        <v>2400</v>
      </c>
      <c r="E104" s="128">
        <v>3</v>
      </c>
      <c r="F104" s="46">
        <f t="shared" si="18"/>
        <v>10260</v>
      </c>
      <c r="G104" s="327"/>
    </row>
    <row r="105" spans="1:10" ht="27.75" customHeight="1" x14ac:dyDescent="0.3">
      <c r="A105" s="129" t="s">
        <v>170</v>
      </c>
      <c r="B105" s="130" t="s">
        <v>171</v>
      </c>
      <c r="C105" s="131">
        <v>1680</v>
      </c>
      <c r="D105" s="132"/>
      <c r="E105" s="132">
        <v>1</v>
      </c>
      <c r="F105" s="48">
        <f>$C$105*E105</f>
        <v>1680</v>
      </c>
      <c r="G105" s="54"/>
    </row>
    <row r="156" spans="1:7" ht="15" customHeight="1" x14ac:dyDescent="0.3"/>
    <row r="157" spans="1:7" x14ac:dyDescent="0.3">
      <c r="A157" s="39"/>
      <c r="B157" s="39"/>
    </row>
    <row r="158" spans="1:7" x14ac:dyDescent="0.3">
      <c r="B158" s="39"/>
      <c r="C158" s="40"/>
      <c r="D158" s="40"/>
      <c r="E158" s="40"/>
      <c r="F158" s="40"/>
      <c r="G158" s="40"/>
    </row>
    <row r="159" spans="1:7" x14ac:dyDescent="0.3">
      <c r="A159" s="39"/>
      <c r="B159" s="39"/>
    </row>
    <row r="160" spans="1:7" x14ac:dyDescent="0.3">
      <c r="A160" s="39"/>
      <c r="B160" s="39"/>
    </row>
    <row r="161" spans="1:2" x14ac:dyDescent="0.3">
      <c r="A161" s="39"/>
      <c r="B161" s="39"/>
    </row>
    <row r="162" spans="1:2" x14ac:dyDescent="0.3">
      <c r="A162" s="39"/>
      <c r="B162" s="39"/>
    </row>
    <row r="163" spans="1:2" x14ac:dyDescent="0.3">
      <c r="A163" s="39"/>
      <c r="B163" s="39"/>
    </row>
    <row r="164" spans="1:2" x14ac:dyDescent="0.3">
      <c r="A164" s="39"/>
      <c r="B164" s="39"/>
    </row>
    <row r="165" spans="1:2" x14ac:dyDescent="0.3">
      <c r="A165" s="39"/>
      <c r="B165" s="39"/>
    </row>
    <row r="166" spans="1:2" x14ac:dyDescent="0.3">
      <c r="A166" s="39"/>
      <c r="B166" s="39"/>
    </row>
    <row r="167" spans="1:2" x14ac:dyDescent="0.3">
      <c r="A167" s="39"/>
      <c r="B167" s="39"/>
    </row>
    <row r="168" spans="1:2" x14ac:dyDescent="0.3">
      <c r="A168" s="39"/>
      <c r="B168" s="39"/>
    </row>
    <row r="169" spans="1:2" x14ac:dyDescent="0.3">
      <c r="A169" s="39"/>
      <c r="B169" s="39"/>
    </row>
    <row r="170" spans="1:2" x14ac:dyDescent="0.3">
      <c r="A170" s="39"/>
      <c r="B170" s="39"/>
    </row>
    <row r="171" spans="1:2" x14ac:dyDescent="0.3">
      <c r="A171" s="39"/>
      <c r="B171" s="39"/>
    </row>
    <row r="172" spans="1:2" x14ac:dyDescent="0.3">
      <c r="A172" s="39"/>
      <c r="B172" s="39"/>
    </row>
    <row r="173" spans="1:2" x14ac:dyDescent="0.3">
      <c r="A173" s="39"/>
      <c r="B173" s="39"/>
    </row>
    <row r="174" spans="1:2" x14ac:dyDescent="0.3">
      <c r="A174" s="39"/>
      <c r="B174" s="39"/>
    </row>
    <row r="175" spans="1:2" x14ac:dyDescent="0.3">
      <c r="A175" s="39"/>
      <c r="B175" s="39"/>
    </row>
    <row r="176" spans="1:2" x14ac:dyDescent="0.3">
      <c r="A176" s="39"/>
      <c r="B176" s="39"/>
    </row>
    <row r="177" spans="1:2" x14ac:dyDescent="0.3">
      <c r="A177" s="39"/>
      <c r="B177" s="39"/>
    </row>
    <row r="178" spans="1:2" x14ac:dyDescent="0.3">
      <c r="A178" s="39"/>
      <c r="B178" s="39"/>
    </row>
    <row r="179" spans="1:2" x14ac:dyDescent="0.3">
      <c r="A179" s="39"/>
      <c r="B179" s="39"/>
    </row>
    <row r="180" spans="1:2" x14ac:dyDescent="0.3">
      <c r="A180" s="39"/>
      <c r="B180" s="39"/>
    </row>
  </sheetData>
  <mergeCells count="53">
    <mergeCell ref="A34:B38"/>
    <mergeCell ref="A29:B33"/>
    <mergeCell ref="A13:B22"/>
    <mergeCell ref="C18:C22"/>
    <mergeCell ref="C13:C17"/>
    <mergeCell ref="A26:G26"/>
    <mergeCell ref="A27:B28"/>
    <mergeCell ref="D27:G27"/>
    <mergeCell ref="A3:G3"/>
    <mergeCell ref="A4:G4"/>
    <mergeCell ref="A10:G10"/>
    <mergeCell ref="A11:B12"/>
    <mergeCell ref="C11:F11"/>
    <mergeCell ref="C51:G51"/>
    <mergeCell ref="A45:G45"/>
    <mergeCell ref="A46:B47"/>
    <mergeCell ref="C46:G46"/>
    <mergeCell ref="A39:B43"/>
    <mergeCell ref="B93:B94"/>
    <mergeCell ref="A100:A104"/>
    <mergeCell ref="B100:B104"/>
    <mergeCell ref="C100:C104"/>
    <mergeCell ref="A87:A96"/>
    <mergeCell ref="C92:C96"/>
    <mergeCell ref="C87:C91"/>
    <mergeCell ref="B88:B89"/>
    <mergeCell ref="A53:B53"/>
    <mergeCell ref="A48:B48"/>
    <mergeCell ref="A50:B50"/>
    <mergeCell ref="A97:B97"/>
    <mergeCell ref="A99:B99"/>
    <mergeCell ref="A69:B69"/>
    <mergeCell ref="A56:G56"/>
    <mergeCell ref="A57:B58"/>
    <mergeCell ref="C57:G57"/>
    <mergeCell ref="B60:B61"/>
    <mergeCell ref="B65:B66"/>
    <mergeCell ref="C49:G49"/>
    <mergeCell ref="E69:G69"/>
    <mergeCell ref="A84:G84"/>
    <mergeCell ref="A85:B86"/>
    <mergeCell ref="C85:G85"/>
    <mergeCell ref="A73:A82"/>
    <mergeCell ref="C78:C82"/>
    <mergeCell ref="C73:C77"/>
    <mergeCell ref="A59:A68"/>
    <mergeCell ref="C64:C68"/>
    <mergeCell ref="C59:C63"/>
    <mergeCell ref="A70:G70"/>
    <mergeCell ref="A71:B72"/>
    <mergeCell ref="C71:G71"/>
    <mergeCell ref="B74:B75"/>
    <mergeCell ref="B79:B80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0"/>
  <sheetViews>
    <sheetView view="pageBreakPreview" topLeftCell="A82" zoomScaleNormal="100" zoomScaleSheetLayoutView="100" workbookViewId="0">
      <selection activeCell="F92" sqref="F92"/>
    </sheetView>
  </sheetViews>
  <sheetFormatPr defaultRowHeight="14.4" outlineLevelRow="1" outlineLevelCol="1" x14ac:dyDescent="0.3"/>
  <cols>
    <col min="1" max="1" width="11.6640625" customWidth="1"/>
    <col min="2" max="2" width="24" bestFit="1" customWidth="1"/>
    <col min="3" max="7" width="12.6640625" customWidth="1"/>
    <col min="8" max="8" width="9.109375" hidden="1" customWidth="1" outlineLevel="1"/>
    <col min="9" max="9" width="11.44140625" hidden="1" customWidth="1" outlineLevel="1"/>
    <col min="10" max="10" width="0" hidden="1" customWidth="1" collapsed="1"/>
    <col min="11" max="12" width="0" hidden="1" customWidth="1"/>
  </cols>
  <sheetData>
    <row r="1" spans="1:11" s="58" customFormat="1" ht="18.75" customHeight="1" x14ac:dyDescent="0.3">
      <c r="A1" s="91"/>
      <c r="B1" s="57"/>
      <c r="D1" s="41"/>
      <c r="E1" s="41"/>
      <c r="F1" s="41"/>
      <c r="G1" s="147" t="str">
        <f>СОДЕРЖАНИЕ!I2</f>
        <v>Прайс-лист на изделия из ПВХ от 02.12.2024</v>
      </c>
    </row>
    <row r="2" spans="1:11" s="58" customFormat="1" ht="20.25" customHeight="1" x14ac:dyDescent="0.3">
      <c r="A2" s="91"/>
      <c r="B2" s="57"/>
      <c r="C2" s="57"/>
      <c r="D2" s="57"/>
      <c r="E2" s="57"/>
      <c r="F2"/>
      <c r="G2"/>
    </row>
    <row r="3" spans="1:11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1" ht="17.399999999999999" x14ac:dyDescent="0.3">
      <c r="A4" s="397" t="s">
        <v>59</v>
      </c>
      <c r="B4" s="397"/>
      <c r="C4" s="397"/>
      <c r="D4" s="397"/>
      <c r="E4" s="397"/>
      <c r="F4" s="397"/>
      <c r="G4" s="397"/>
    </row>
    <row r="5" spans="1:11" ht="9" customHeight="1" x14ac:dyDescent="0.3">
      <c r="A5" s="33"/>
      <c r="B5" s="33"/>
      <c r="C5" s="33"/>
      <c r="D5" s="33"/>
      <c r="E5" s="33"/>
      <c r="F5" s="33"/>
      <c r="G5" s="33"/>
    </row>
    <row r="6" spans="1:11" ht="9" customHeight="1" x14ac:dyDescent="0.3">
      <c r="A6" s="33"/>
      <c r="B6" s="33"/>
      <c r="C6" s="33"/>
      <c r="D6" s="33"/>
      <c r="E6" s="33"/>
      <c r="F6" s="33"/>
      <c r="G6" s="33"/>
    </row>
    <row r="7" spans="1:11" ht="144" customHeight="1" x14ac:dyDescent="0.3">
      <c r="C7" s="1"/>
      <c r="D7" s="1"/>
      <c r="E7" s="1"/>
      <c r="F7" s="1"/>
      <c r="G7" s="1"/>
    </row>
    <row r="8" spans="1:11" ht="20.25" customHeight="1" x14ac:dyDescent="0.3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 x14ac:dyDescent="0.3">
      <c r="A9" s="36"/>
      <c r="B9" s="36"/>
      <c r="C9" s="36"/>
      <c r="D9" s="36"/>
      <c r="E9" s="36"/>
      <c r="F9" s="36"/>
      <c r="G9" s="36"/>
    </row>
    <row r="10" spans="1:11" ht="15.6" customHeight="1" x14ac:dyDescent="0.3">
      <c r="A10" s="408" t="s">
        <v>136</v>
      </c>
      <c r="B10" s="409"/>
      <c r="C10" s="409"/>
      <c r="D10" s="409"/>
      <c r="E10" s="409"/>
      <c r="F10" s="409"/>
      <c r="G10" s="410"/>
    </row>
    <row r="11" spans="1:11" ht="15.6" customHeight="1" x14ac:dyDescent="0.3">
      <c r="A11" s="403" t="s">
        <v>83</v>
      </c>
      <c r="B11" s="403"/>
      <c r="C11" s="405" t="s">
        <v>68</v>
      </c>
      <c r="D11" s="406"/>
      <c r="E11" s="406"/>
      <c r="F11" s="406"/>
      <c r="G11" s="126"/>
    </row>
    <row r="12" spans="1:11" x14ac:dyDescent="0.3">
      <c r="A12" s="403"/>
      <c r="B12" s="403"/>
      <c r="C12" s="138" t="s">
        <v>65</v>
      </c>
      <c r="D12" s="138" t="s">
        <v>66</v>
      </c>
      <c r="E12" s="138" t="s">
        <v>69</v>
      </c>
      <c r="F12" s="138" t="s">
        <v>87</v>
      </c>
      <c r="G12" s="138" t="s">
        <v>88</v>
      </c>
      <c r="H12" s="137" t="s">
        <v>140</v>
      </c>
      <c r="I12" s="137" t="s">
        <v>141</v>
      </c>
    </row>
    <row r="13" spans="1:11" s="49" customFormat="1" ht="27" customHeight="1" x14ac:dyDescent="0.3">
      <c r="A13" s="396" t="s">
        <v>288</v>
      </c>
      <c r="B13" s="396"/>
      <c r="C13" s="404" t="s">
        <v>67</v>
      </c>
      <c r="D13" s="50">
        <v>2000</v>
      </c>
      <c r="E13" s="50" t="s">
        <v>70</v>
      </c>
      <c r="F13" s="48">
        <f>база!F21</f>
        <v>23180</v>
      </c>
      <c r="G13" s="48">
        <f>F13*(1-$G$8)</f>
        <v>18544</v>
      </c>
      <c r="H13" s="313">
        <f>F13*0.61</f>
        <v>14139.8</v>
      </c>
      <c r="I13" s="48">
        <f>H13*(1-$I$8)</f>
        <v>12725.82</v>
      </c>
      <c r="J13" s="49">
        <v>21520</v>
      </c>
      <c r="K13" s="310">
        <f>F13/J13-1</f>
        <v>7.713754646840143E-2</v>
      </c>
    </row>
    <row r="14" spans="1:11" ht="25.5" customHeight="1" outlineLevel="1" x14ac:dyDescent="0.3">
      <c r="A14" s="396"/>
      <c r="B14" s="396"/>
      <c r="C14" s="404"/>
      <c r="D14" s="328">
        <v>2100</v>
      </c>
      <c r="E14" s="47">
        <v>0.1</v>
      </c>
      <c r="F14" s="46">
        <f>CEILING(F13*(1+E14), 50)</f>
        <v>25500</v>
      </c>
      <c r="G14" s="46">
        <f t="shared" ref="G14:G21" si="0">F14*(1-$G$8)</f>
        <v>20400</v>
      </c>
      <c r="H14" s="313">
        <f t="shared" ref="H14:H21" si="1">F14*0.61</f>
        <v>15555</v>
      </c>
      <c r="I14" s="46">
        <f t="shared" ref="I14:I21" si="2">H14*(1-$I$8)</f>
        <v>13999.5</v>
      </c>
      <c r="J14">
        <v>23700</v>
      </c>
      <c r="K14" s="310">
        <f t="shared" ref="K14:K21" si="3">F14/J14-1</f>
        <v>7.5949367088607556E-2</v>
      </c>
    </row>
    <row r="15" spans="1:11" ht="25.5" customHeight="1" outlineLevel="1" x14ac:dyDescent="0.3">
      <c r="A15" s="396"/>
      <c r="B15" s="396"/>
      <c r="C15" s="404"/>
      <c r="D15" s="328">
        <v>2200</v>
      </c>
      <c r="E15" s="47">
        <v>0.2</v>
      </c>
      <c r="F15" s="46">
        <f>CEILING(F13*(1+E15), 50)</f>
        <v>27850</v>
      </c>
      <c r="G15" s="46">
        <f t="shared" si="0"/>
        <v>22280</v>
      </c>
      <c r="H15" s="313">
        <f t="shared" si="1"/>
        <v>16988.5</v>
      </c>
      <c r="I15" s="46">
        <f t="shared" si="2"/>
        <v>15289.65</v>
      </c>
      <c r="J15">
        <v>25850</v>
      </c>
      <c r="K15" s="310">
        <f t="shared" si="3"/>
        <v>7.7369439071566681E-2</v>
      </c>
    </row>
    <row r="16" spans="1:11" ht="25.5" customHeight="1" outlineLevel="1" x14ac:dyDescent="0.3">
      <c r="A16" s="396"/>
      <c r="B16" s="396"/>
      <c r="C16" s="404"/>
      <c r="D16" s="328">
        <v>2300</v>
      </c>
      <c r="E16" s="47">
        <v>0.3</v>
      </c>
      <c r="F16" s="46">
        <f>CEILING(F13*(1+E16), 50)</f>
        <v>30150</v>
      </c>
      <c r="G16" s="46">
        <f t="shared" si="0"/>
        <v>24120</v>
      </c>
      <c r="H16" s="313">
        <f t="shared" si="1"/>
        <v>18391.5</v>
      </c>
      <c r="I16" s="46">
        <f t="shared" si="2"/>
        <v>16552.350000000002</v>
      </c>
      <c r="J16">
        <v>28000</v>
      </c>
      <c r="K16" s="310">
        <f t="shared" si="3"/>
        <v>7.6785714285714235E-2</v>
      </c>
    </row>
    <row r="17" spans="1:14" ht="25.5" customHeight="1" outlineLevel="1" x14ac:dyDescent="0.3">
      <c r="A17" s="396"/>
      <c r="B17" s="396"/>
      <c r="C17" s="404"/>
      <c r="D17" s="328">
        <v>2400</v>
      </c>
      <c r="E17" s="47">
        <v>0.4</v>
      </c>
      <c r="F17" s="46">
        <f>CEILING(F13*(1+E17), 50)</f>
        <v>32500</v>
      </c>
      <c r="G17" s="46">
        <f t="shared" ref="G17" si="4">F17*(1-$G$8)</f>
        <v>26000</v>
      </c>
      <c r="H17" s="313"/>
      <c r="I17" s="46"/>
      <c r="K17" s="310"/>
    </row>
    <row r="18" spans="1:14" s="49" customFormat="1" ht="27" customHeight="1" x14ac:dyDescent="0.3">
      <c r="A18" s="396"/>
      <c r="B18" s="396"/>
      <c r="C18" s="404">
        <v>900</v>
      </c>
      <c r="D18" s="50">
        <v>2000</v>
      </c>
      <c r="E18" s="50" t="s">
        <v>70</v>
      </c>
      <c r="F18" s="48">
        <f>CEILING(F13*(1+10%), 50)</f>
        <v>25500</v>
      </c>
      <c r="G18" s="48">
        <f t="shared" si="0"/>
        <v>20400</v>
      </c>
      <c r="H18" s="313">
        <f t="shared" si="1"/>
        <v>15555</v>
      </c>
      <c r="I18" s="48">
        <f t="shared" si="2"/>
        <v>13999.5</v>
      </c>
      <c r="J18" s="49">
        <v>23700</v>
      </c>
      <c r="K18" s="310">
        <f t="shared" si="3"/>
        <v>7.5949367088607556E-2</v>
      </c>
      <c r="N18"/>
    </row>
    <row r="19" spans="1:14" ht="25.5" customHeight="1" outlineLevel="1" x14ac:dyDescent="0.3">
      <c r="A19" s="396"/>
      <c r="B19" s="396"/>
      <c r="C19" s="404"/>
      <c r="D19" s="328">
        <v>2100</v>
      </c>
      <c r="E19" s="47">
        <v>0.1</v>
      </c>
      <c r="F19" s="46">
        <f>CEILING(F18*(1+E19), 50)</f>
        <v>28050</v>
      </c>
      <c r="G19" s="46">
        <f t="shared" si="0"/>
        <v>22440</v>
      </c>
      <c r="H19" s="313">
        <f t="shared" si="1"/>
        <v>17110.5</v>
      </c>
      <c r="I19" s="46">
        <f t="shared" si="2"/>
        <v>15399.45</v>
      </c>
      <c r="J19">
        <v>26100</v>
      </c>
      <c r="K19" s="310">
        <f t="shared" si="3"/>
        <v>7.4712643678160884E-2</v>
      </c>
      <c r="N19" s="49"/>
    </row>
    <row r="20" spans="1:14" ht="25.5" customHeight="1" outlineLevel="1" x14ac:dyDescent="0.3">
      <c r="A20" s="396"/>
      <c r="B20" s="396"/>
      <c r="C20" s="404"/>
      <c r="D20" s="328">
        <v>2200</v>
      </c>
      <c r="E20" s="47">
        <v>0.2</v>
      </c>
      <c r="F20" s="46">
        <f>CEILING(F18*(1+E20), 50)</f>
        <v>30600</v>
      </c>
      <c r="G20" s="46">
        <f t="shared" si="0"/>
        <v>24480</v>
      </c>
      <c r="H20" s="313">
        <f t="shared" si="1"/>
        <v>18666</v>
      </c>
      <c r="I20" s="46">
        <f t="shared" si="2"/>
        <v>16799.400000000001</v>
      </c>
      <c r="J20">
        <v>28450</v>
      </c>
      <c r="K20" s="310">
        <f t="shared" si="3"/>
        <v>7.5571177504393683E-2</v>
      </c>
    </row>
    <row r="21" spans="1:14" ht="25.5" customHeight="1" outlineLevel="1" x14ac:dyDescent="0.3">
      <c r="A21" s="396"/>
      <c r="B21" s="396"/>
      <c r="C21" s="404"/>
      <c r="D21" s="328">
        <v>2300</v>
      </c>
      <c r="E21" s="47">
        <v>0.3</v>
      </c>
      <c r="F21" s="46">
        <f>CEILING(F18*(1+E21), 50)</f>
        <v>33150</v>
      </c>
      <c r="G21" s="46">
        <f t="shared" si="0"/>
        <v>26520</v>
      </c>
      <c r="H21" s="313">
        <f t="shared" si="1"/>
        <v>20221.5</v>
      </c>
      <c r="I21" s="46">
        <f t="shared" si="2"/>
        <v>18199.350000000002</v>
      </c>
      <c r="J21">
        <v>30850</v>
      </c>
      <c r="K21" s="310">
        <f t="shared" si="3"/>
        <v>7.4554294975688773E-2</v>
      </c>
    </row>
    <row r="22" spans="1:14" ht="25.5" customHeight="1" outlineLevel="1" x14ac:dyDescent="0.3">
      <c r="A22" s="396"/>
      <c r="B22" s="396"/>
      <c r="C22" s="404"/>
      <c r="D22" s="328">
        <v>2400</v>
      </c>
      <c r="E22" s="47">
        <v>0.4</v>
      </c>
      <c r="F22" s="46">
        <f>CEILING(F18*(1+E22), 50)</f>
        <v>35700</v>
      </c>
      <c r="G22" s="46">
        <f t="shared" ref="G22" si="5">F22*(1-$G$8)</f>
        <v>28560</v>
      </c>
      <c r="H22" s="73"/>
      <c r="I22" s="74"/>
      <c r="K22" s="310"/>
    </row>
    <row r="23" spans="1:14" ht="15.6" customHeight="1" x14ac:dyDescent="0.3">
      <c r="A23" s="36"/>
      <c r="B23" s="36"/>
      <c r="C23" s="36"/>
      <c r="D23" s="36"/>
      <c r="E23" s="36"/>
      <c r="F23" s="36"/>
      <c r="G23" s="36"/>
    </row>
    <row r="24" spans="1:14" ht="15.6" customHeight="1" x14ac:dyDescent="0.3">
      <c r="A24" s="164" t="s">
        <v>150</v>
      </c>
      <c r="B24" s="36"/>
      <c r="C24" s="36"/>
      <c r="D24" s="36"/>
      <c r="E24" s="36"/>
      <c r="F24" s="36"/>
      <c r="G24" s="36"/>
    </row>
    <row r="25" spans="1:14" ht="15.6" customHeight="1" x14ac:dyDescent="0.3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4" ht="15.6" customHeight="1" x14ac:dyDescent="0.3">
      <c r="A26" s="408" t="s">
        <v>151</v>
      </c>
      <c r="B26" s="409"/>
      <c r="C26" s="409"/>
      <c r="D26" s="409"/>
      <c r="E26" s="409">
        <v>1.1000000000000001</v>
      </c>
      <c r="F26" s="409">
        <v>1.2</v>
      </c>
      <c r="G26" s="410">
        <v>1.45</v>
      </c>
    </row>
    <row r="27" spans="1:14" ht="15.6" customHeight="1" x14ac:dyDescent="0.3">
      <c r="A27" s="436" t="s">
        <v>175</v>
      </c>
      <c r="B27" s="436"/>
      <c r="C27" s="120"/>
      <c r="D27" s="437" t="s">
        <v>144</v>
      </c>
      <c r="E27" s="437"/>
      <c r="F27" s="437"/>
      <c r="G27" s="437"/>
      <c r="H27" s="107"/>
      <c r="I27" s="107"/>
    </row>
    <row r="28" spans="1:14" ht="37.5" customHeight="1" x14ac:dyDescent="0.3">
      <c r="A28" s="436"/>
      <c r="B28" s="436"/>
      <c r="C28" s="138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4" ht="15.6" customHeight="1" x14ac:dyDescent="0.3">
      <c r="A29" s="438" t="s">
        <v>148</v>
      </c>
      <c r="B29" s="438"/>
      <c r="C29" s="50">
        <v>2000</v>
      </c>
      <c r="D29" s="46" t="str">
        <f>Slot!D29</f>
        <v>˅</v>
      </c>
      <c r="E29" s="46">
        <f>Slot!E29</f>
        <v>500</v>
      </c>
      <c r="F29" s="46">
        <f>Slot!F29</f>
        <v>1550</v>
      </c>
      <c r="G29" s="46">
        <f>Slot!G29</f>
        <v>2600</v>
      </c>
      <c r="H29" s="107"/>
      <c r="I29" s="107"/>
    </row>
    <row r="30" spans="1:14" ht="15.6" customHeight="1" outlineLevel="1" x14ac:dyDescent="0.3">
      <c r="A30" s="438"/>
      <c r="B30" s="438"/>
      <c r="C30" s="328">
        <v>2100</v>
      </c>
      <c r="D30" s="46" t="str">
        <f>Slot!D30</f>
        <v>˅</v>
      </c>
      <c r="E30" s="46">
        <f>Slot!E30</f>
        <v>550</v>
      </c>
      <c r="F30" s="46">
        <f>Slot!F30</f>
        <v>1704.9999999999995</v>
      </c>
      <c r="G30" s="46">
        <f>Slot!G30</f>
        <v>2860.0000000000005</v>
      </c>
      <c r="H30" s="107"/>
      <c r="I30" s="107"/>
    </row>
    <row r="31" spans="1:14" ht="15.6" customHeight="1" outlineLevel="1" x14ac:dyDescent="0.3">
      <c r="A31" s="438"/>
      <c r="B31" s="438"/>
      <c r="C31" s="328">
        <v>2200</v>
      </c>
      <c r="D31" s="46" t="str">
        <f>Slot!D31</f>
        <v>˅</v>
      </c>
      <c r="E31" s="46">
        <f>Slot!E31</f>
        <v>600</v>
      </c>
      <c r="F31" s="46">
        <f>Slot!F31</f>
        <v>1860</v>
      </c>
      <c r="G31" s="46">
        <f>Slot!G31</f>
        <v>3120</v>
      </c>
      <c r="H31" s="107"/>
      <c r="I31" s="107"/>
    </row>
    <row r="32" spans="1:14" ht="15.6" customHeight="1" outlineLevel="1" x14ac:dyDescent="0.3">
      <c r="A32" s="438"/>
      <c r="B32" s="438"/>
      <c r="C32" s="328">
        <v>2300</v>
      </c>
      <c r="D32" s="46" t="str">
        <f>Slot!D32</f>
        <v>˅</v>
      </c>
      <c r="E32" s="46">
        <f>Slot!E32</f>
        <v>650</v>
      </c>
      <c r="F32" s="46">
        <f>Slot!F32</f>
        <v>2015</v>
      </c>
      <c r="G32" s="46">
        <f>Slot!G32</f>
        <v>3380</v>
      </c>
      <c r="H32" s="107"/>
      <c r="I32" s="107"/>
    </row>
    <row r="33" spans="1:9" ht="15.6" customHeight="1" outlineLevel="1" x14ac:dyDescent="0.3">
      <c r="A33" s="438"/>
      <c r="B33" s="438"/>
      <c r="C33" s="328">
        <v>2400</v>
      </c>
      <c r="D33" s="46" t="str">
        <f>Slot!D33</f>
        <v>˅</v>
      </c>
      <c r="E33" s="46">
        <f>Slot!E33</f>
        <v>700.00000000000045</v>
      </c>
      <c r="F33" s="46">
        <f>Slot!F33</f>
        <v>2170.0000000000005</v>
      </c>
      <c r="G33" s="46">
        <f>Slot!G33</f>
        <v>3639.9999999999995</v>
      </c>
      <c r="H33" s="107"/>
      <c r="I33" s="107"/>
    </row>
    <row r="34" spans="1:9" ht="15.6" customHeight="1" x14ac:dyDescent="0.3">
      <c r="A34" s="438" t="s">
        <v>149</v>
      </c>
      <c r="B34" s="438"/>
      <c r="C34" s="50">
        <v>2000</v>
      </c>
      <c r="D34" s="46">
        <f>Slot!D34</f>
        <v>550</v>
      </c>
      <c r="E34" s="46">
        <f>Slot!E34</f>
        <v>550</v>
      </c>
      <c r="F34" s="46">
        <f>Slot!F34</f>
        <v>550</v>
      </c>
      <c r="G34" s="46">
        <f>Slot!G34</f>
        <v>550</v>
      </c>
      <c r="H34" s="107"/>
      <c r="I34" s="107"/>
    </row>
    <row r="35" spans="1:9" ht="15.6" customHeight="1" outlineLevel="1" x14ac:dyDescent="0.3">
      <c r="A35" s="438"/>
      <c r="B35" s="438"/>
      <c r="C35" s="328">
        <v>2100</v>
      </c>
      <c r="D35" s="46">
        <f>Slot!D35</f>
        <v>605</v>
      </c>
      <c r="E35" s="46">
        <f>Slot!E35</f>
        <v>605</v>
      </c>
      <c r="F35" s="46">
        <f>Slot!F35</f>
        <v>605</v>
      </c>
      <c r="G35" s="46">
        <f>Slot!G35</f>
        <v>605</v>
      </c>
      <c r="H35" s="107"/>
      <c r="I35" s="107"/>
    </row>
    <row r="36" spans="1:9" ht="15.6" customHeight="1" outlineLevel="1" x14ac:dyDescent="0.3">
      <c r="A36" s="438"/>
      <c r="B36" s="438"/>
      <c r="C36" s="328">
        <v>2200</v>
      </c>
      <c r="D36" s="46">
        <f>Slot!D36</f>
        <v>660</v>
      </c>
      <c r="E36" s="46">
        <f>Slot!E36</f>
        <v>660</v>
      </c>
      <c r="F36" s="46">
        <f>Slot!F36</f>
        <v>660</v>
      </c>
      <c r="G36" s="46">
        <f>Slot!G36</f>
        <v>660</v>
      </c>
      <c r="H36" s="107"/>
      <c r="I36" s="107"/>
    </row>
    <row r="37" spans="1:9" ht="15.6" customHeight="1" outlineLevel="1" x14ac:dyDescent="0.3">
      <c r="A37" s="438"/>
      <c r="B37" s="438"/>
      <c r="C37" s="328">
        <v>2300</v>
      </c>
      <c r="D37" s="46">
        <f>Slot!D37</f>
        <v>715</v>
      </c>
      <c r="E37" s="46">
        <f>Slot!E37</f>
        <v>715</v>
      </c>
      <c r="F37" s="46">
        <f>Slot!F37</f>
        <v>715</v>
      </c>
      <c r="G37" s="46">
        <f>Slot!G37</f>
        <v>715</v>
      </c>
      <c r="H37" s="107"/>
      <c r="I37" s="107"/>
    </row>
    <row r="38" spans="1:9" ht="15.6" customHeight="1" outlineLevel="1" x14ac:dyDescent="0.3">
      <c r="A38" s="438"/>
      <c r="B38" s="438"/>
      <c r="C38" s="328">
        <v>2400</v>
      </c>
      <c r="D38" s="46">
        <f>Slot!D38</f>
        <v>770.00000000000045</v>
      </c>
      <c r="E38" s="46">
        <f>Slot!E38</f>
        <v>770</v>
      </c>
      <c r="F38" s="46">
        <f>Slot!F38</f>
        <v>770</v>
      </c>
      <c r="G38" s="46">
        <f>Slot!G38</f>
        <v>770</v>
      </c>
      <c r="H38" s="107"/>
      <c r="I38" s="107"/>
    </row>
    <row r="39" spans="1:9" ht="15.6" customHeight="1" x14ac:dyDescent="0.3">
      <c r="A39" s="438" t="s">
        <v>162</v>
      </c>
      <c r="B39" s="438"/>
      <c r="C39" s="50">
        <v>2000</v>
      </c>
      <c r="D39" s="46">
        <f>Slot!D39</f>
        <v>1050</v>
      </c>
      <c r="E39" s="46">
        <f>Slot!E39</f>
        <v>1050</v>
      </c>
      <c r="F39" s="46">
        <f>Slot!F39</f>
        <v>1000</v>
      </c>
      <c r="G39" s="46">
        <f>Slot!G39</f>
        <v>1000</v>
      </c>
      <c r="H39" s="107"/>
      <c r="I39" s="107"/>
    </row>
    <row r="40" spans="1:9" ht="15.6" customHeight="1" outlineLevel="1" x14ac:dyDescent="0.3">
      <c r="A40" s="438"/>
      <c r="B40" s="438"/>
      <c r="C40" s="328">
        <v>2100</v>
      </c>
      <c r="D40" s="46">
        <f>Slot!D40</f>
        <v>1155</v>
      </c>
      <c r="E40" s="46">
        <f>Slot!E40</f>
        <v>1154.9999999999995</v>
      </c>
      <c r="F40" s="46">
        <f>Slot!F40</f>
        <v>1100.0000000000009</v>
      </c>
      <c r="G40" s="46">
        <f>Slot!G40</f>
        <v>1100</v>
      </c>
    </row>
    <row r="41" spans="1:9" ht="15.6" customHeight="1" outlineLevel="1" x14ac:dyDescent="0.3">
      <c r="A41" s="438"/>
      <c r="B41" s="438"/>
      <c r="C41" s="328">
        <v>2200</v>
      </c>
      <c r="D41" s="46">
        <f>Slot!D41</f>
        <v>1260</v>
      </c>
      <c r="E41" s="46">
        <f>Slot!E41</f>
        <v>1260</v>
      </c>
      <c r="F41" s="46">
        <f>Slot!F41</f>
        <v>1200</v>
      </c>
      <c r="G41" s="46">
        <f>Slot!G41</f>
        <v>1200</v>
      </c>
    </row>
    <row r="42" spans="1:9" ht="15.6" customHeight="1" outlineLevel="1" x14ac:dyDescent="0.3">
      <c r="A42" s="438"/>
      <c r="B42" s="438"/>
      <c r="C42" s="328">
        <v>2300</v>
      </c>
      <c r="D42" s="46">
        <f>Slot!D42</f>
        <v>1365</v>
      </c>
      <c r="E42" s="46">
        <f>Slot!E42</f>
        <v>1365</v>
      </c>
      <c r="F42" s="46">
        <f>Slot!F42</f>
        <v>1300</v>
      </c>
      <c r="G42" s="46">
        <f>Slot!G42</f>
        <v>1300</v>
      </c>
    </row>
    <row r="43" spans="1:9" ht="15.6" customHeight="1" outlineLevel="1" x14ac:dyDescent="0.3">
      <c r="A43" s="438"/>
      <c r="B43" s="438"/>
      <c r="C43" s="328">
        <v>2400</v>
      </c>
      <c r="D43" s="46">
        <f>Slot!D43</f>
        <v>1470.0000000000005</v>
      </c>
      <c r="E43" s="46">
        <f>Slot!E43</f>
        <v>1470</v>
      </c>
      <c r="F43" s="46">
        <f>Slot!F43</f>
        <v>1399.9999999999991</v>
      </c>
      <c r="G43" s="46">
        <f>Slot!G43</f>
        <v>1400.0000000000009</v>
      </c>
    </row>
    <row r="44" spans="1:9" ht="15.6" customHeight="1" x14ac:dyDescent="0.3">
      <c r="A44" s="63"/>
      <c r="B44" s="36"/>
      <c r="C44" s="36"/>
      <c r="D44" s="36"/>
      <c r="E44" s="36"/>
      <c r="F44" s="36"/>
      <c r="G44" s="36"/>
    </row>
    <row r="45" spans="1:9" ht="15.6" customHeight="1" x14ac:dyDescent="0.3">
      <c r="A45" s="408" t="s">
        <v>152</v>
      </c>
      <c r="B45" s="409"/>
      <c r="C45" s="409"/>
      <c r="D45" s="409"/>
      <c r="E45" s="409">
        <v>1.1000000000000001</v>
      </c>
      <c r="F45" s="409">
        <v>1.2</v>
      </c>
      <c r="G45" s="410">
        <v>1.45</v>
      </c>
    </row>
    <row r="46" spans="1:9" ht="15.6" customHeight="1" x14ac:dyDescent="0.3">
      <c r="A46" s="451" t="s">
        <v>83</v>
      </c>
      <c r="B46" s="452"/>
      <c r="C46" s="439" t="s">
        <v>153</v>
      </c>
      <c r="D46" s="440"/>
      <c r="E46" s="440"/>
      <c r="F46" s="440"/>
      <c r="G46" s="440"/>
      <c r="H46" s="107"/>
      <c r="I46" s="107"/>
    </row>
    <row r="47" spans="1:9" ht="21.75" customHeight="1" x14ac:dyDescent="0.3">
      <c r="A47" s="453"/>
      <c r="B47" s="454"/>
      <c r="C47" s="113" t="s">
        <v>65</v>
      </c>
      <c r="D47" s="113" t="s">
        <v>66</v>
      </c>
      <c r="E47" s="211" t="s">
        <v>155</v>
      </c>
      <c r="F47" s="211" t="s">
        <v>156</v>
      </c>
      <c r="G47" s="211" t="s">
        <v>157</v>
      </c>
      <c r="H47" s="107"/>
      <c r="I47" s="107"/>
    </row>
    <row r="48" spans="1:9" ht="28.5" customHeight="1" x14ac:dyDescent="0.3">
      <c r="A48" s="396" t="s">
        <v>288</v>
      </c>
      <c r="B48" s="396"/>
      <c r="C48" s="204" t="s">
        <v>185</v>
      </c>
      <c r="D48" s="205" t="s">
        <v>399</v>
      </c>
      <c r="E48" s="46">
        <v>1500</v>
      </c>
      <c r="F48" s="46">
        <v>2500</v>
      </c>
      <c r="G48" s="46">
        <v>2500</v>
      </c>
      <c r="H48" s="107"/>
      <c r="I48" s="107"/>
    </row>
    <row r="49" spans="1:15" ht="15.6" customHeight="1" x14ac:dyDescent="0.3">
      <c r="A49" s="139"/>
      <c r="B49" s="140"/>
      <c r="C49" s="439" t="s">
        <v>159</v>
      </c>
      <c r="D49" s="440"/>
      <c r="E49" s="440"/>
      <c r="F49" s="440"/>
      <c r="G49" s="441"/>
      <c r="H49" s="107"/>
      <c r="I49" s="107"/>
    </row>
    <row r="50" spans="1:15" ht="31.5" customHeight="1" x14ac:dyDescent="0.3">
      <c r="A50" s="396" t="s">
        <v>288</v>
      </c>
      <c r="B50" s="396"/>
      <c r="C50" s="204" t="s">
        <v>185</v>
      </c>
      <c r="D50" s="205" t="s">
        <v>399</v>
      </c>
      <c r="E50" s="46">
        <v>2500</v>
      </c>
      <c r="F50" s="46">
        <v>3500</v>
      </c>
      <c r="G50" s="46">
        <v>3500</v>
      </c>
      <c r="H50" s="107"/>
      <c r="I50" s="107"/>
    </row>
    <row r="51" spans="1:15" ht="15.6" customHeight="1" x14ac:dyDescent="0.3">
      <c r="A51" s="114"/>
      <c r="B51" s="115"/>
      <c r="C51" s="439" t="s">
        <v>154</v>
      </c>
      <c r="D51" s="440"/>
      <c r="E51" s="440"/>
      <c r="F51" s="440"/>
      <c r="G51" s="441"/>
      <c r="H51" s="107"/>
      <c r="I51" s="107"/>
    </row>
    <row r="52" spans="1:15" ht="48" x14ac:dyDescent="0.3">
      <c r="A52" s="116"/>
      <c r="B52" s="117"/>
      <c r="C52" s="113" t="s">
        <v>65</v>
      </c>
      <c r="D52" s="113" t="s">
        <v>66</v>
      </c>
      <c r="E52" s="211" t="s">
        <v>325</v>
      </c>
      <c r="F52" s="211" t="s">
        <v>391</v>
      </c>
      <c r="G52" s="212" t="s">
        <v>158</v>
      </c>
      <c r="H52" s="107"/>
      <c r="I52" s="107"/>
    </row>
    <row r="53" spans="1:15" ht="24.75" customHeight="1" x14ac:dyDescent="0.3">
      <c r="A53" s="396" t="s">
        <v>288</v>
      </c>
      <c r="B53" s="396"/>
      <c r="C53" s="206" t="s">
        <v>185</v>
      </c>
      <c r="D53" s="205" t="s">
        <v>399</v>
      </c>
      <c r="E53" s="46" t="s">
        <v>70</v>
      </c>
      <c r="F53" s="46">
        <v>750</v>
      </c>
      <c r="G53" s="46">
        <v>1500</v>
      </c>
      <c r="H53" s="107"/>
      <c r="I53" s="107"/>
    </row>
    <row r="54" spans="1:15" ht="15.6" customHeight="1" x14ac:dyDescent="0.3">
      <c r="A54" s="105" t="s">
        <v>142</v>
      </c>
      <c r="B54" s="36"/>
      <c r="C54" s="36"/>
      <c r="D54" s="36"/>
      <c r="E54" s="36"/>
      <c r="F54" s="36"/>
      <c r="G54" s="36"/>
    </row>
    <row r="55" spans="1:15" ht="15.6" customHeight="1" x14ac:dyDescent="0.3">
      <c r="A55" s="284" t="s">
        <v>361</v>
      </c>
      <c r="B55" s="36"/>
      <c r="C55" s="36"/>
      <c r="D55" s="36"/>
      <c r="E55" s="36"/>
      <c r="F55" s="36"/>
      <c r="G55" s="36"/>
    </row>
    <row r="56" spans="1:15" ht="15.6" customHeight="1" x14ac:dyDescent="0.3">
      <c r="A56" s="407" t="s">
        <v>138</v>
      </c>
      <c r="B56" s="407"/>
      <c r="C56" s="407"/>
      <c r="D56" s="407"/>
      <c r="E56" s="407"/>
      <c r="F56" s="407"/>
      <c r="G56" s="407"/>
    </row>
    <row r="57" spans="1:15" ht="15.6" customHeight="1" x14ac:dyDescent="0.3">
      <c r="A57" s="403" t="s">
        <v>84</v>
      </c>
      <c r="B57" s="403"/>
      <c r="C57" s="403" t="s">
        <v>68</v>
      </c>
      <c r="D57" s="403"/>
      <c r="E57" s="403"/>
      <c r="F57" s="403"/>
      <c r="G57" s="403"/>
    </row>
    <row r="58" spans="1:15" ht="24" customHeight="1" x14ac:dyDescent="0.3">
      <c r="A58" s="403"/>
      <c r="B58" s="403"/>
      <c r="C58" s="113" t="s">
        <v>65</v>
      </c>
      <c r="D58" s="113" t="s">
        <v>66</v>
      </c>
      <c r="E58" s="113" t="s">
        <v>166</v>
      </c>
      <c r="F58" s="138" t="s">
        <v>163</v>
      </c>
      <c r="G58" s="113" t="s">
        <v>88</v>
      </c>
    </row>
    <row r="59" spans="1:15" s="49" customFormat="1" ht="27" customHeight="1" x14ac:dyDescent="0.3">
      <c r="A59" s="396" t="s">
        <v>288</v>
      </c>
      <c r="B59" s="325" t="s">
        <v>137</v>
      </c>
      <c r="C59" s="404" t="s">
        <v>67</v>
      </c>
      <c r="D59" s="50">
        <v>2000</v>
      </c>
      <c r="E59" s="48">
        <f>Fusion!E31</f>
        <v>7450</v>
      </c>
      <c r="F59" s="48">
        <f t="shared" ref="F59:F68" si="6">F13+E59</f>
        <v>30630</v>
      </c>
      <c r="G59" s="48">
        <f t="shared" ref="G59:G68" si="7">G13+E59</f>
        <v>25994</v>
      </c>
      <c r="J59"/>
      <c r="K59"/>
      <c r="L59"/>
      <c r="M59"/>
      <c r="N59"/>
      <c r="O59"/>
    </row>
    <row r="60" spans="1:15" ht="25.5" customHeight="1" outlineLevel="1" x14ac:dyDescent="0.3">
      <c r="A60" s="396"/>
      <c r="B60" s="402" t="s">
        <v>85</v>
      </c>
      <c r="C60" s="404"/>
      <c r="D60" s="328">
        <v>2100</v>
      </c>
      <c r="E60" s="46">
        <f>Fusion!E32</f>
        <v>8200</v>
      </c>
      <c r="F60" s="46">
        <f t="shared" si="6"/>
        <v>33700</v>
      </c>
      <c r="G60" s="46">
        <f t="shared" si="7"/>
        <v>28600</v>
      </c>
    </row>
    <row r="61" spans="1:15" ht="25.5" customHeight="1" outlineLevel="1" x14ac:dyDescent="0.3">
      <c r="A61" s="396"/>
      <c r="B61" s="402"/>
      <c r="C61" s="404"/>
      <c r="D61" s="328">
        <v>2200</v>
      </c>
      <c r="E61" s="46">
        <f>Fusion!E33</f>
        <v>8200</v>
      </c>
      <c r="F61" s="46">
        <f t="shared" si="6"/>
        <v>36050</v>
      </c>
      <c r="G61" s="46">
        <f t="shared" si="7"/>
        <v>30480</v>
      </c>
    </row>
    <row r="62" spans="1:15" ht="25.5" customHeight="1" outlineLevel="1" x14ac:dyDescent="0.3">
      <c r="A62" s="396"/>
      <c r="B62" s="325" t="s">
        <v>86</v>
      </c>
      <c r="C62" s="404"/>
      <c r="D62" s="328">
        <v>2300</v>
      </c>
      <c r="E62" s="46">
        <f>Fusion!E34</f>
        <v>9100</v>
      </c>
      <c r="F62" s="46">
        <f t="shared" si="6"/>
        <v>39250</v>
      </c>
      <c r="G62" s="46">
        <f t="shared" si="7"/>
        <v>33220</v>
      </c>
    </row>
    <row r="63" spans="1:15" ht="25.5" customHeight="1" outlineLevel="1" x14ac:dyDescent="0.3">
      <c r="A63" s="396"/>
      <c r="B63" s="325" t="s">
        <v>395</v>
      </c>
      <c r="C63" s="404"/>
      <c r="D63" s="328">
        <v>2400</v>
      </c>
      <c r="E63" s="46">
        <f>Fusion!E35</f>
        <v>9700</v>
      </c>
      <c r="F63" s="46">
        <f t="shared" si="6"/>
        <v>42200</v>
      </c>
      <c r="G63" s="46">
        <f t="shared" si="7"/>
        <v>35700</v>
      </c>
    </row>
    <row r="64" spans="1:15" s="49" customFormat="1" ht="27" customHeight="1" x14ac:dyDescent="0.3">
      <c r="A64" s="396"/>
      <c r="B64" s="325" t="s">
        <v>137</v>
      </c>
      <c r="C64" s="404">
        <v>900</v>
      </c>
      <c r="D64" s="50">
        <v>2000</v>
      </c>
      <c r="E64" s="48">
        <f>Fusion!E36</f>
        <v>7450</v>
      </c>
      <c r="F64" s="48">
        <f t="shared" si="6"/>
        <v>32950</v>
      </c>
      <c r="G64" s="48">
        <f t="shared" si="7"/>
        <v>27850</v>
      </c>
      <c r="J64"/>
      <c r="K64"/>
      <c r="L64"/>
      <c r="M64"/>
      <c r="N64"/>
      <c r="O64"/>
    </row>
    <row r="65" spans="1:15" ht="25.5" customHeight="1" outlineLevel="1" x14ac:dyDescent="0.3">
      <c r="A65" s="396"/>
      <c r="B65" s="402" t="s">
        <v>85</v>
      </c>
      <c r="C65" s="404"/>
      <c r="D65" s="328">
        <v>2100</v>
      </c>
      <c r="E65" s="46">
        <f>Fusion!E37</f>
        <v>8200</v>
      </c>
      <c r="F65" s="46">
        <f t="shared" si="6"/>
        <v>36250</v>
      </c>
      <c r="G65" s="46">
        <f t="shared" si="7"/>
        <v>30640</v>
      </c>
    </row>
    <row r="66" spans="1:15" ht="25.5" customHeight="1" outlineLevel="1" x14ac:dyDescent="0.3">
      <c r="A66" s="396"/>
      <c r="B66" s="402"/>
      <c r="C66" s="404"/>
      <c r="D66" s="328">
        <v>2200</v>
      </c>
      <c r="E66" s="46">
        <f>Fusion!E38</f>
        <v>8200</v>
      </c>
      <c r="F66" s="46">
        <f t="shared" si="6"/>
        <v>38800</v>
      </c>
      <c r="G66" s="46">
        <f t="shared" si="7"/>
        <v>32680</v>
      </c>
    </row>
    <row r="67" spans="1:15" ht="25.5" customHeight="1" outlineLevel="1" x14ac:dyDescent="0.3">
      <c r="A67" s="396"/>
      <c r="B67" s="325" t="s">
        <v>86</v>
      </c>
      <c r="C67" s="404"/>
      <c r="D67" s="328">
        <v>2300</v>
      </c>
      <c r="E67" s="46">
        <f>Fusion!E39</f>
        <v>9100</v>
      </c>
      <c r="F67" s="46">
        <f t="shared" si="6"/>
        <v>42250</v>
      </c>
      <c r="G67" s="46">
        <f t="shared" si="7"/>
        <v>35620</v>
      </c>
    </row>
    <row r="68" spans="1:15" ht="25.5" customHeight="1" outlineLevel="1" x14ac:dyDescent="0.3">
      <c r="A68" s="396"/>
      <c r="B68" s="325" t="str">
        <f>B63</f>
        <v>Короб L (В=2700) 
Наличник L 75/10 (В=2700)</v>
      </c>
      <c r="C68" s="404"/>
      <c r="D68" s="328">
        <v>2400</v>
      </c>
      <c r="E68" s="46">
        <f>Fusion!E40</f>
        <v>9700</v>
      </c>
      <c r="F68" s="46">
        <f t="shared" si="6"/>
        <v>45400</v>
      </c>
      <c r="G68" s="46">
        <f t="shared" si="7"/>
        <v>38260</v>
      </c>
    </row>
    <row r="69" spans="1:15" x14ac:dyDescent="0.3">
      <c r="A69" s="412"/>
      <c r="B69" s="412"/>
      <c r="C69" s="150"/>
      <c r="D69" s="142"/>
      <c r="E69" s="457"/>
      <c r="F69" s="457"/>
      <c r="G69" s="457"/>
    </row>
    <row r="70" spans="1:15" ht="15.6" customHeight="1" x14ac:dyDescent="0.3">
      <c r="A70" s="407" t="s">
        <v>164</v>
      </c>
      <c r="B70" s="407"/>
      <c r="C70" s="407"/>
      <c r="D70" s="407"/>
      <c r="E70" s="407"/>
      <c r="F70" s="407"/>
      <c r="G70" s="407"/>
    </row>
    <row r="71" spans="1:15" ht="15.6" customHeight="1" x14ac:dyDescent="0.3">
      <c r="A71" s="403" t="s">
        <v>165</v>
      </c>
      <c r="B71" s="403"/>
      <c r="C71" s="403" t="s">
        <v>68</v>
      </c>
      <c r="D71" s="403"/>
      <c r="E71" s="403"/>
      <c r="F71" s="403"/>
      <c r="G71" s="403"/>
    </row>
    <row r="72" spans="1:15" ht="24" customHeight="1" x14ac:dyDescent="0.3">
      <c r="A72" s="403"/>
      <c r="B72" s="403"/>
      <c r="C72" s="113" t="s">
        <v>65</v>
      </c>
      <c r="D72" s="113" t="s">
        <v>66</v>
      </c>
      <c r="E72" s="113" t="s">
        <v>166</v>
      </c>
      <c r="F72" s="138" t="s">
        <v>87</v>
      </c>
      <c r="G72" s="113" t="s">
        <v>88</v>
      </c>
    </row>
    <row r="73" spans="1:15" s="49" customFormat="1" ht="27" customHeight="1" x14ac:dyDescent="0.3">
      <c r="A73" s="396" t="s">
        <v>288</v>
      </c>
      <c r="B73" s="325" t="s">
        <v>137</v>
      </c>
      <c r="C73" s="404" t="s">
        <v>67</v>
      </c>
      <c r="D73" s="50">
        <v>2000</v>
      </c>
      <c r="E73" s="48">
        <f>Fusion!E45</f>
        <v>9800</v>
      </c>
      <c r="F73" s="48">
        <f>F13+E73</f>
        <v>32980</v>
      </c>
      <c r="G73" s="48">
        <f>G13+E73</f>
        <v>28344</v>
      </c>
      <c r="J73"/>
      <c r="K73"/>
      <c r="L73"/>
      <c r="M73"/>
      <c r="N73"/>
      <c r="O73"/>
    </row>
    <row r="74" spans="1:15" ht="25.5" customHeight="1" outlineLevel="1" x14ac:dyDescent="0.3">
      <c r="A74" s="396"/>
      <c r="B74" s="402" t="s">
        <v>85</v>
      </c>
      <c r="C74" s="404"/>
      <c r="D74" s="328">
        <v>2100</v>
      </c>
      <c r="E74" s="48">
        <f>Fusion!E46</f>
        <v>10800</v>
      </c>
      <c r="F74" s="46">
        <f t="shared" ref="F74:F82" si="8">F14+E74</f>
        <v>36300</v>
      </c>
      <c r="G74" s="46">
        <f t="shared" ref="G74:G82" si="9">G14+E74</f>
        <v>31200</v>
      </c>
    </row>
    <row r="75" spans="1:15" ht="25.5" customHeight="1" outlineLevel="1" x14ac:dyDescent="0.3">
      <c r="A75" s="396"/>
      <c r="B75" s="402"/>
      <c r="C75" s="404"/>
      <c r="D75" s="328">
        <v>2200</v>
      </c>
      <c r="E75" s="48">
        <f>Fusion!E47</f>
        <v>10800</v>
      </c>
      <c r="F75" s="46">
        <f t="shared" si="8"/>
        <v>38650</v>
      </c>
      <c r="G75" s="46">
        <f t="shared" si="9"/>
        <v>33080</v>
      </c>
    </row>
    <row r="76" spans="1:15" ht="25.5" customHeight="1" outlineLevel="1" x14ac:dyDescent="0.3">
      <c r="A76" s="396"/>
      <c r="B76" s="325" t="s">
        <v>86</v>
      </c>
      <c r="C76" s="404"/>
      <c r="D76" s="328">
        <v>2300</v>
      </c>
      <c r="E76" s="48">
        <f>Fusion!E48</f>
        <v>11700</v>
      </c>
      <c r="F76" s="46">
        <f t="shared" si="8"/>
        <v>41850</v>
      </c>
      <c r="G76" s="46">
        <f t="shared" si="9"/>
        <v>35820</v>
      </c>
    </row>
    <row r="77" spans="1:15" ht="25.5" customHeight="1" outlineLevel="1" x14ac:dyDescent="0.3">
      <c r="A77" s="396"/>
      <c r="B77" s="325" t="str">
        <f>B68</f>
        <v>Короб L (В=2700) 
Наличник L 75/10 (В=2700)</v>
      </c>
      <c r="C77" s="404"/>
      <c r="D77" s="328">
        <v>2400</v>
      </c>
      <c r="E77" s="48">
        <f>Fusion!E49</f>
        <v>12775</v>
      </c>
      <c r="F77" s="46">
        <f t="shared" si="8"/>
        <v>45275</v>
      </c>
      <c r="G77" s="46">
        <f t="shared" si="9"/>
        <v>38775</v>
      </c>
    </row>
    <row r="78" spans="1:15" s="49" customFormat="1" ht="27" customHeight="1" x14ac:dyDescent="0.3">
      <c r="A78" s="396"/>
      <c r="B78" s="325" t="s">
        <v>137</v>
      </c>
      <c r="C78" s="404">
        <v>900</v>
      </c>
      <c r="D78" s="50">
        <v>2000</v>
      </c>
      <c r="E78" s="48">
        <f>Fusion!E50</f>
        <v>9800</v>
      </c>
      <c r="F78" s="48">
        <f t="shared" si="8"/>
        <v>35300</v>
      </c>
      <c r="G78" s="48">
        <f t="shared" si="9"/>
        <v>30200</v>
      </c>
      <c r="J78"/>
      <c r="K78"/>
      <c r="L78"/>
      <c r="M78"/>
      <c r="N78"/>
      <c r="O78"/>
    </row>
    <row r="79" spans="1:15" ht="25.5" customHeight="1" outlineLevel="1" x14ac:dyDescent="0.3">
      <c r="A79" s="396"/>
      <c r="B79" s="402" t="s">
        <v>85</v>
      </c>
      <c r="C79" s="404"/>
      <c r="D79" s="328">
        <v>2100</v>
      </c>
      <c r="E79" s="48">
        <f>Fusion!E51</f>
        <v>10800</v>
      </c>
      <c r="F79" s="46">
        <f t="shared" si="8"/>
        <v>38850</v>
      </c>
      <c r="G79" s="46">
        <f t="shared" si="9"/>
        <v>33240</v>
      </c>
    </row>
    <row r="80" spans="1:15" ht="25.5" customHeight="1" outlineLevel="1" x14ac:dyDescent="0.3">
      <c r="A80" s="396"/>
      <c r="B80" s="402"/>
      <c r="C80" s="404"/>
      <c r="D80" s="328">
        <v>2200</v>
      </c>
      <c r="E80" s="48">
        <f>Fusion!E52</f>
        <v>10800</v>
      </c>
      <c r="F80" s="46">
        <f t="shared" si="8"/>
        <v>41400</v>
      </c>
      <c r="G80" s="46">
        <f t="shared" si="9"/>
        <v>35280</v>
      </c>
    </row>
    <row r="81" spans="1:15" ht="25.5" customHeight="1" outlineLevel="1" x14ac:dyDescent="0.3">
      <c r="A81" s="396"/>
      <c r="B81" s="325" t="s">
        <v>86</v>
      </c>
      <c r="C81" s="404"/>
      <c r="D81" s="328">
        <v>2300</v>
      </c>
      <c r="E81" s="48">
        <f>Fusion!E53</f>
        <v>11700</v>
      </c>
      <c r="F81" s="46">
        <f t="shared" si="8"/>
        <v>44850</v>
      </c>
      <c r="G81" s="46">
        <f t="shared" si="9"/>
        <v>38220</v>
      </c>
    </row>
    <row r="82" spans="1:15" ht="25.5" customHeight="1" outlineLevel="1" x14ac:dyDescent="0.3">
      <c r="A82" s="396"/>
      <c r="B82" s="325" t="str">
        <f>B68</f>
        <v>Короб L (В=2700) 
Наличник L 75/10 (В=2700)</v>
      </c>
      <c r="C82" s="404"/>
      <c r="D82" s="328">
        <v>2400</v>
      </c>
      <c r="E82" s="48">
        <f>Fusion!E54</f>
        <v>12775</v>
      </c>
      <c r="F82" s="46">
        <f t="shared" si="8"/>
        <v>48475</v>
      </c>
      <c r="G82" s="46">
        <f t="shared" si="9"/>
        <v>41335</v>
      </c>
    </row>
    <row r="83" spans="1:15" ht="12.75" customHeight="1" x14ac:dyDescent="0.3">
      <c r="A83" s="41"/>
      <c r="B83" s="41"/>
      <c r="C83" s="41"/>
      <c r="D83" s="41"/>
      <c r="E83" s="41"/>
      <c r="F83" s="41"/>
      <c r="G83" s="41"/>
    </row>
    <row r="84" spans="1:15" ht="15.6" customHeight="1" x14ac:dyDescent="0.3">
      <c r="A84" s="407" t="s">
        <v>174</v>
      </c>
      <c r="B84" s="407"/>
      <c r="C84" s="407"/>
      <c r="D84" s="407"/>
      <c r="E84" s="407"/>
      <c r="F84" s="407"/>
      <c r="G84" s="407"/>
    </row>
    <row r="85" spans="1:15" ht="15.6" customHeight="1" x14ac:dyDescent="0.3">
      <c r="A85" s="403" t="s">
        <v>366</v>
      </c>
      <c r="B85" s="403"/>
      <c r="C85" s="403" t="s">
        <v>68</v>
      </c>
      <c r="D85" s="403"/>
      <c r="E85" s="403"/>
      <c r="F85" s="403"/>
      <c r="G85" s="403"/>
    </row>
    <row r="86" spans="1:15" ht="24" customHeight="1" x14ac:dyDescent="0.3">
      <c r="A86" s="403"/>
      <c r="B86" s="403"/>
      <c r="C86" s="113" t="s">
        <v>65</v>
      </c>
      <c r="D86" s="113" t="s">
        <v>66</v>
      </c>
      <c r="E86" s="113" t="s">
        <v>166</v>
      </c>
      <c r="F86" s="138" t="s">
        <v>163</v>
      </c>
      <c r="G86" s="113" t="s">
        <v>88</v>
      </c>
    </row>
    <row r="87" spans="1:15" s="49" customFormat="1" ht="27" customHeight="1" x14ac:dyDescent="0.3">
      <c r="A87" s="396" t="s">
        <v>288</v>
      </c>
      <c r="B87" s="325" t="s">
        <v>365</v>
      </c>
      <c r="C87" s="404" t="s">
        <v>67</v>
      </c>
      <c r="D87" s="50">
        <v>2000</v>
      </c>
      <c r="E87" s="48">
        <f>'Porte39-00'!E79</f>
        <v>13850</v>
      </c>
      <c r="F87" s="48">
        <f>F13+E87+F100+$F$105</f>
        <v>45550</v>
      </c>
      <c r="G87" s="48">
        <f>G13+E87+F100+$F$105</f>
        <v>40914</v>
      </c>
      <c r="J87"/>
      <c r="K87"/>
      <c r="L87"/>
      <c r="M87"/>
      <c r="N87"/>
      <c r="O87"/>
    </row>
    <row r="88" spans="1:15" ht="25.5" customHeight="1" outlineLevel="1" x14ac:dyDescent="0.3">
      <c r="A88" s="396"/>
      <c r="B88" s="402" t="s">
        <v>365</v>
      </c>
      <c r="C88" s="404"/>
      <c r="D88" s="328">
        <v>2100</v>
      </c>
      <c r="E88" s="46">
        <f>'Porte39-00'!E80</f>
        <v>13850</v>
      </c>
      <c r="F88" s="46">
        <f t="shared" ref="F88:F91" si="10">F14+E88+F101+$F$105</f>
        <v>47870</v>
      </c>
      <c r="G88" s="46">
        <f t="shared" ref="G88:G91" si="11">G14+E88+F101+$F$105</f>
        <v>42770</v>
      </c>
    </row>
    <row r="89" spans="1:15" ht="25.5" customHeight="1" outlineLevel="1" x14ac:dyDescent="0.3">
      <c r="A89" s="396"/>
      <c r="B89" s="402"/>
      <c r="C89" s="404"/>
      <c r="D89" s="328">
        <v>2200</v>
      </c>
      <c r="E89" s="46">
        <f>'Porte39-00'!E81</f>
        <v>15125</v>
      </c>
      <c r="F89" s="46">
        <f t="shared" si="10"/>
        <v>51495</v>
      </c>
      <c r="G89" s="46">
        <f t="shared" si="11"/>
        <v>45925</v>
      </c>
    </row>
    <row r="90" spans="1:15" ht="25.5" customHeight="1" outlineLevel="1" x14ac:dyDescent="0.3">
      <c r="A90" s="396"/>
      <c r="B90" s="325" t="s">
        <v>365</v>
      </c>
      <c r="C90" s="404"/>
      <c r="D90" s="328">
        <v>2300</v>
      </c>
      <c r="E90" s="46">
        <f>'Porte39-00'!E82</f>
        <v>15125</v>
      </c>
      <c r="F90" s="46">
        <f t="shared" si="10"/>
        <v>57215</v>
      </c>
      <c r="G90" s="46">
        <f t="shared" si="11"/>
        <v>51185</v>
      </c>
    </row>
    <row r="91" spans="1:15" ht="25.5" customHeight="1" outlineLevel="1" x14ac:dyDescent="0.3">
      <c r="A91" s="396"/>
      <c r="B91" s="325" t="s">
        <v>365</v>
      </c>
      <c r="C91" s="404"/>
      <c r="D91" s="328">
        <v>2400</v>
      </c>
      <c r="E91" s="46">
        <f>'Porte39-00'!E83</f>
        <v>17753</v>
      </c>
      <c r="F91" s="46">
        <f t="shared" si="10"/>
        <v>51933</v>
      </c>
      <c r="G91" s="46">
        <f t="shared" si="11"/>
        <v>45433</v>
      </c>
    </row>
    <row r="92" spans="1:15" s="49" customFormat="1" ht="27" customHeight="1" x14ac:dyDescent="0.3">
      <c r="A92" s="396"/>
      <c r="B92" s="325" t="s">
        <v>365</v>
      </c>
      <c r="C92" s="404">
        <v>900</v>
      </c>
      <c r="D92" s="50">
        <v>2000</v>
      </c>
      <c r="E92" s="48">
        <f>E87</f>
        <v>13850</v>
      </c>
      <c r="F92" s="48">
        <f>F18+E92+F100+$F$105</f>
        <v>47870</v>
      </c>
      <c r="G92" s="48">
        <f>G18+E92+F100+$F$105</f>
        <v>42770</v>
      </c>
      <c r="J92"/>
      <c r="K92"/>
      <c r="L92"/>
      <c r="M92"/>
      <c r="N92"/>
      <c r="O92"/>
    </row>
    <row r="93" spans="1:15" ht="25.5" customHeight="1" outlineLevel="1" x14ac:dyDescent="0.3">
      <c r="A93" s="396"/>
      <c r="B93" s="402" t="s">
        <v>365</v>
      </c>
      <c r="C93" s="404"/>
      <c r="D93" s="328">
        <v>2100</v>
      </c>
      <c r="E93" s="46">
        <f>E88</f>
        <v>13850</v>
      </c>
      <c r="F93" s="46">
        <f t="shared" ref="F93:F96" si="12">F19+E93+F101+$F$105</f>
        <v>50420</v>
      </c>
      <c r="G93" s="46">
        <f t="shared" ref="G93:G96" si="13">G19+E93+F101+$F$105</f>
        <v>44810</v>
      </c>
    </row>
    <row r="94" spans="1:15" ht="25.5" customHeight="1" outlineLevel="1" x14ac:dyDescent="0.3">
      <c r="A94" s="396"/>
      <c r="B94" s="402"/>
      <c r="C94" s="404"/>
      <c r="D94" s="328">
        <v>2200</v>
      </c>
      <c r="E94" s="46">
        <f t="shared" ref="E94:E95" si="14">E89</f>
        <v>15125</v>
      </c>
      <c r="F94" s="46">
        <f t="shared" si="12"/>
        <v>54245</v>
      </c>
      <c r="G94" s="46">
        <f t="shared" si="13"/>
        <v>48125</v>
      </c>
    </row>
    <row r="95" spans="1:15" ht="25.5" customHeight="1" outlineLevel="1" x14ac:dyDescent="0.3">
      <c r="A95" s="396"/>
      <c r="B95" s="325" t="s">
        <v>365</v>
      </c>
      <c r="C95" s="404"/>
      <c r="D95" s="328">
        <v>2300</v>
      </c>
      <c r="E95" s="46">
        <f t="shared" si="14"/>
        <v>15125</v>
      </c>
      <c r="F95" s="46">
        <f t="shared" si="12"/>
        <v>60215</v>
      </c>
      <c r="G95" s="46">
        <f t="shared" si="13"/>
        <v>53585</v>
      </c>
    </row>
    <row r="96" spans="1:15" ht="25.5" customHeight="1" outlineLevel="1" x14ac:dyDescent="0.3">
      <c r="A96" s="396"/>
      <c r="B96" s="325" t="s">
        <v>365</v>
      </c>
      <c r="C96" s="404"/>
      <c r="D96" s="328">
        <v>2400</v>
      </c>
      <c r="E96" s="46">
        <f>E91</f>
        <v>17753</v>
      </c>
      <c r="F96" s="46">
        <f t="shared" si="12"/>
        <v>55133</v>
      </c>
      <c r="G96" s="46">
        <f t="shared" si="13"/>
        <v>47993</v>
      </c>
    </row>
    <row r="97" spans="1:10" x14ac:dyDescent="0.3">
      <c r="A97" s="412"/>
      <c r="B97" s="412"/>
      <c r="C97" s="150"/>
      <c r="D97" s="142"/>
      <c r="E97" s="142"/>
      <c r="F97" s="142"/>
      <c r="G97" s="142"/>
    </row>
    <row r="98" spans="1:10" x14ac:dyDescent="0.3">
      <c r="A98" s="109" t="s">
        <v>384</v>
      </c>
      <c r="B98" s="141"/>
      <c r="C98" s="150"/>
      <c r="D98" s="142"/>
      <c r="E98" s="142"/>
      <c r="F98" s="142"/>
      <c r="G98" s="142"/>
      <c r="H98" s="142"/>
      <c r="I98" s="142"/>
      <c r="J98" s="142"/>
    </row>
    <row r="99" spans="1:10" ht="34.5" customHeight="1" x14ac:dyDescent="0.3">
      <c r="A99" s="417" t="s">
        <v>169</v>
      </c>
      <c r="B99" s="418"/>
      <c r="C99" s="113" t="s">
        <v>173</v>
      </c>
      <c r="D99" s="113" t="s">
        <v>66</v>
      </c>
      <c r="E99" s="113" t="s">
        <v>172</v>
      </c>
      <c r="F99" s="113" t="s">
        <v>108</v>
      </c>
      <c r="G99" s="142"/>
    </row>
    <row r="100" spans="1:10" x14ac:dyDescent="0.3">
      <c r="A100" s="422" t="s">
        <v>168</v>
      </c>
      <c r="B100" s="422" t="s">
        <v>167</v>
      </c>
      <c r="C100" s="425">
        <v>3420</v>
      </c>
      <c r="D100" s="50">
        <v>2000</v>
      </c>
      <c r="E100" s="128">
        <v>2</v>
      </c>
      <c r="F100" s="48">
        <f>$C$100*E100</f>
        <v>6840</v>
      </c>
      <c r="G100" s="142"/>
    </row>
    <row r="101" spans="1:10" x14ac:dyDescent="0.3">
      <c r="A101" s="423"/>
      <c r="B101" s="423"/>
      <c r="C101" s="426"/>
      <c r="D101" s="144">
        <v>2100</v>
      </c>
      <c r="E101" s="128">
        <v>2</v>
      </c>
      <c r="F101" s="46">
        <f t="shared" ref="F101:F103" si="15">$C$100*E101</f>
        <v>6840</v>
      </c>
      <c r="G101" s="142"/>
    </row>
    <row r="102" spans="1:10" x14ac:dyDescent="0.3">
      <c r="A102" s="423"/>
      <c r="B102" s="423"/>
      <c r="C102" s="426"/>
      <c r="D102" s="144">
        <v>2200</v>
      </c>
      <c r="E102" s="128">
        <v>2</v>
      </c>
      <c r="F102" s="46">
        <f t="shared" si="15"/>
        <v>6840</v>
      </c>
      <c r="G102" s="142"/>
    </row>
    <row r="103" spans="1:10" x14ac:dyDescent="0.3">
      <c r="A103" s="423"/>
      <c r="B103" s="423"/>
      <c r="C103" s="426"/>
      <c r="D103" s="144">
        <v>2300</v>
      </c>
      <c r="E103" s="128">
        <v>3</v>
      </c>
      <c r="F103" s="46">
        <f t="shared" si="15"/>
        <v>10260</v>
      </c>
      <c r="G103" s="142"/>
    </row>
    <row r="104" spans="1:10" x14ac:dyDescent="0.3">
      <c r="A104" s="424"/>
      <c r="B104" s="424"/>
      <c r="C104" s="427"/>
      <c r="D104" s="328">
        <v>2400</v>
      </c>
      <c r="E104" s="128"/>
      <c r="F104" s="46"/>
      <c r="G104" s="327"/>
    </row>
    <row r="105" spans="1:10" ht="27.75" customHeight="1" x14ac:dyDescent="0.3">
      <c r="A105" s="129" t="s">
        <v>170</v>
      </c>
      <c r="B105" s="143" t="s">
        <v>171</v>
      </c>
      <c r="C105" s="131">
        <v>1680</v>
      </c>
      <c r="D105" s="132"/>
      <c r="E105" s="132">
        <v>1</v>
      </c>
      <c r="F105" s="48">
        <f>$C$105*E105</f>
        <v>1680</v>
      </c>
      <c r="G105" s="142"/>
    </row>
    <row r="156" spans="1:7" ht="15" customHeight="1" x14ac:dyDescent="0.3"/>
    <row r="157" spans="1:7" x14ac:dyDescent="0.3">
      <c r="A157" s="39"/>
      <c r="B157" s="39"/>
    </row>
    <row r="158" spans="1:7" x14ac:dyDescent="0.3">
      <c r="B158" s="39"/>
      <c r="C158" s="40"/>
      <c r="D158" s="40"/>
      <c r="E158" s="40"/>
      <c r="F158" s="40"/>
      <c r="G158" s="40"/>
    </row>
    <row r="159" spans="1:7" x14ac:dyDescent="0.3">
      <c r="A159" s="39"/>
      <c r="B159" s="39"/>
    </row>
    <row r="160" spans="1:7" x14ac:dyDescent="0.3">
      <c r="A160" s="39"/>
      <c r="B160" s="39"/>
    </row>
    <row r="161" spans="1:2" x14ac:dyDescent="0.3">
      <c r="A161" s="39"/>
      <c r="B161" s="39"/>
    </row>
    <row r="162" spans="1:2" x14ac:dyDescent="0.3">
      <c r="A162" s="39"/>
      <c r="B162" s="39"/>
    </row>
    <row r="163" spans="1:2" x14ac:dyDescent="0.3">
      <c r="A163" s="39"/>
      <c r="B163" s="39"/>
    </row>
    <row r="164" spans="1:2" x14ac:dyDescent="0.3">
      <c r="A164" s="39"/>
      <c r="B164" s="39"/>
    </row>
    <row r="165" spans="1:2" x14ac:dyDescent="0.3">
      <c r="A165" s="39"/>
      <c r="B165" s="39"/>
    </row>
    <row r="166" spans="1:2" x14ac:dyDescent="0.3">
      <c r="A166" s="39"/>
      <c r="B166" s="39"/>
    </row>
    <row r="167" spans="1:2" x14ac:dyDescent="0.3">
      <c r="A167" s="39"/>
      <c r="B167" s="39"/>
    </row>
    <row r="168" spans="1:2" x14ac:dyDescent="0.3">
      <c r="A168" s="39"/>
      <c r="B168" s="39"/>
    </row>
    <row r="169" spans="1:2" x14ac:dyDescent="0.3">
      <c r="A169" s="39"/>
      <c r="B169" s="39"/>
    </row>
    <row r="170" spans="1:2" x14ac:dyDescent="0.3">
      <c r="A170" s="39"/>
      <c r="B170" s="39"/>
    </row>
    <row r="171" spans="1:2" x14ac:dyDescent="0.3">
      <c r="A171" s="39"/>
      <c r="B171" s="39"/>
    </row>
    <row r="172" spans="1:2" x14ac:dyDescent="0.3">
      <c r="A172" s="39"/>
      <c r="B172" s="39"/>
    </row>
    <row r="173" spans="1:2" x14ac:dyDescent="0.3">
      <c r="A173" s="39"/>
      <c r="B173" s="39"/>
    </row>
    <row r="174" spans="1:2" x14ac:dyDescent="0.3">
      <c r="A174" s="39"/>
      <c r="B174" s="39"/>
    </row>
    <row r="175" spans="1:2" x14ac:dyDescent="0.3">
      <c r="A175" s="39"/>
      <c r="B175" s="39"/>
    </row>
    <row r="176" spans="1:2" x14ac:dyDescent="0.3">
      <c r="A176" s="39"/>
      <c r="B176" s="39"/>
    </row>
    <row r="177" spans="1:2" x14ac:dyDescent="0.3">
      <c r="A177" s="39"/>
      <c r="B177" s="39"/>
    </row>
    <row r="178" spans="1:2" x14ac:dyDescent="0.3">
      <c r="A178" s="39"/>
      <c r="B178" s="39"/>
    </row>
    <row r="179" spans="1:2" x14ac:dyDescent="0.3">
      <c r="A179" s="39"/>
      <c r="B179" s="39"/>
    </row>
    <row r="180" spans="1:2" x14ac:dyDescent="0.3">
      <c r="A180" s="39"/>
      <c r="B180" s="39"/>
    </row>
  </sheetData>
  <mergeCells count="53">
    <mergeCell ref="A29:B33"/>
    <mergeCell ref="A34:B38"/>
    <mergeCell ref="A39:B43"/>
    <mergeCell ref="A26:G26"/>
    <mergeCell ref="A27:B28"/>
    <mergeCell ref="D27:G27"/>
    <mergeCell ref="A13:B22"/>
    <mergeCell ref="C13:C17"/>
    <mergeCell ref="C18:C22"/>
    <mergeCell ref="A3:G3"/>
    <mergeCell ref="A4:G4"/>
    <mergeCell ref="A10:G10"/>
    <mergeCell ref="A11:B12"/>
    <mergeCell ref="C11:F11"/>
    <mergeCell ref="B74:B75"/>
    <mergeCell ref="B79:B80"/>
    <mergeCell ref="A73:A82"/>
    <mergeCell ref="C73:C77"/>
    <mergeCell ref="C78:C82"/>
    <mergeCell ref="A69:B69"/>
    <mergeCell ref="E69:G69"/>
    <mergeCell ref="A70:G70"/>
    <mergeCell ref="A71:B72"/>
    <mergeCell ref="C71:G71"/>
    <mergeCell ref="A84:G84"/>
    <mergeCell ref="A85:B86"/>
    <mergeCell ref="C85:G85"/>
    <mergeCell ref="B88:B89"/>
    <mergeCell ref="B93:B94"/>
    <mergeCell ref="A87:A96"/>
    <mergeCell ref="C87:C91"/>
    <mergeCell ref="C92:C96"/>
    <mergeCell ref="A97:B97"/>
    <mergeCell ref="A99:B99"/>
    <mergeCell ref="C100:C104"/>
    <mergeCell ref="B100:B104"/>
    <mergeCell ref="A100:A104"/>
    <mergeCell ref="A59:A68"/>
    <mergeCell ref="C64:C68"/>
    <mergeCell ref="C59:C63"/>
    <mergeCell ref="A56:G56"/>
    <mergeCell ref="A57:B58"/>
    <mergeCell ref="C57:G57"/>
    <mergeCell ref="B60:B61"/>
    <mergeCell ref="B65:B66"/>
    <mergeCell ref="A53:B53"/>
    <mergeCell ref="C49:G49"/>
    <mergeCell ref="A50:B50"/>
    <mergeCell ref="C51:G51"/>
    <mergeCell ref="A45:G45"/>
    <mergeCell ref="A46:B47"/>
    <mergeCell ref="C46:G46"/>
    <mergeCell ref="A48:B48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8"/>
  <sheetViews>
    <sheetView view="pageBreakPreview" topLeftCell="A100" zoomScaleNormal="100" zoomScaleSheetLayoutView="100" workbookViewId="0">
      <selection activeCell="F108" sqref="F108"/>
    </sheetView>
  </sheetViews>
  <sheetFormatPr defaultRowHeight="14.4" outlineLevelRow="1" outlineLevelCol="1" x14ac:dyDescent="0.3"/>
  <cols>
    <col min="1" max="1" width="11.6640625" customWidth="1"/>
    <col min="2" max="2" width="24" bestFit="1" customWidth="1"/>
    <col min="3" max="7" width="12.6640625" customWidth="1"/>
    <col min="8" max="8" width="9.109375" hidden="1" customWidth="1" outlineLevel="1"/>
    <col min="9" max="9" width="11.44140625" hidden="1" customWidth="1" outlineLevel="1"/>
    <col min="10" max="10" width="13" hidden="1" customWidth="1" collapsed="1"/>
    <col min="11" max="11" width="0" hidden="1" customWidth="1"/>
    <col min="12" max="12" width="9.5546875" hidden="1" customWidth="1"/>
    <col min="13" max="15" width="0" hidden="1" customWidth="1"/>
  </cols>
  <sheetData>
    <row r="1" spans="1:11" s="58" customFormat="1" ht="18.75" customHeight="1" x14ac:dyDescent="0.3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 x14ac:dyDescent="0.3">
      <c r="A2" s="91"/>
      <c r="B2" s="57"/>
      <c r="C2" s="57"/>
      <c r="D2" s="57"/>
      <c r="E2" s="57"/>
      <c r="F2"/>
      <c r="G2"/>
    </row>
    <row r="3" spans="1:11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1" ht="17.399999999999999" x14ac:dyDescent="0.3">
      <c r="A4" s="397" t="s">
        <v>59</v>
      </c>
      <c r="B4" s="397"/>
      <c r="C4" s="397"/>
      <c r="D4" s="397"/>
      <c r="E4" s="397"/>
      <c r="F4" s="397"/>
      <c r="G4" s="397"/>
    </row>
    <row r="5" spans="1:11" ht="9" customHeight="1" x14ac:dyDescent="0.3">
      <c r="A5" s="33"/>
      <c r="B5" s="33"/>
      <c r="C5" s="33"/>
      <c r="D5" s="33"/>
      <c r="E5" s="33"/>
      <c r="F5" s="33"/>
      <c r="G5" s="33"/>
    </row>
    <row r="6" spans="1:11" ht="9" customHeight="1" x14ac:dyDescent="0.3">
      <c r="A6" s="33"/>
      <c r="B6" s="33"/>
      <c r="C6" s="33"/>
      <c r="D6" s="33"/>
      <c r="E6" s="33"/>
      <c r="F6" s="33"/>
      <c r="G6" s="33"/>
    </row>
    <row r="7" spans="1:11" ht="144" customHeight="1" x14ac:dyDescent="0.3">
      <c r="C7" s="1"/>
      <c r="D7" s="1"/>
      <c r="E7" s="1"/>
      <c r="F7" s="1"/>
      <c r="G7" s="1"/>
    </row>
    <row r="8" spans="1:11" ht="20.25" customHeight="1" x14ac:dyDescent="0.3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 x14ac:dyDescent="0.3">
      <c r="A9" s="36"/>
      <c r="B9" s="36"/>
      <c r="C9" s="36"/>
      <c r="D9" s="36"/>
      <c r="E9" s="36"/>
      <c r="F9" s="36"/>
      <c r="G9" s="36"/>
    </row>
    <row r="10" spans="1:11" ht="15.6" customHeight="1" x14ac:dyDescent="0.3">
      <c r="A10" s="408" t="s">
        <v>136</v>
      </c>
      <c r="B10" s="409"/>
      <c r="C10" s="409"/>
      <c r="D10" s="409"/>
      <c r="E10" s="409"/>
      <c r="F10" s="409"/>
      <c r="G10" s="410"/>
    </row>
    <row r="11" spans="1:11" ht="15.6" customHeight="1" x14ac:dyDescent="0.3">
      <c r="A11" s="403" t="s">
        <v>83</v>
      </c>
      <c r="B11" s="403"/>
      <c r="C11" s="405" t="s">
        <v>68</v>
      </c>
      <c r="D11" s="406"/>
      <c r="E11" s="406"/>
      <c r="F11" s="406"/>
      <c r="G11" s="126"/>
    </row>
    <row r="12" spans="1:11" x14ac:dyDescent="0.3">
      <c r="A12" s="403"/>
      <c r="B12" s="403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 x14ac:dyDescent="0.3">
      <c r="A13" s="396" t="s">
        <v>184</v>
      </c>
      <c r="B13" s="396"/>
      <c r="C13" s="404" t="s">
        <v>67</v>
      </c>
      <c r="D13" s="50">
        <v>2000</v>
      </c>
      <c r="E13" s="50" t="s">
        <v>70</v>
      </c>
      <c r="F13" s="48">
        <f>база!F24</f>
        <v>25640</v>
      </c>
      <c r="G13" s="48">
        <f>F13*(1-$G$8)</f>
        <v>20512</v>
      </c>
      <c r="H13" s="48">
        <f>F13*0.61</f>
        <v>15640.4</v>
      </c>
      <c r="I13" s="48">
        <f>H13*(1-$I$8)</f>
        <v>14076.36</v>
      </c>
      <c r="J13" s="49">
        <v>23950</v>
      </c>
      <c r="K13" s="310">
        <f>F13/J13-1</f>
        <v>7.0563674321503234E-2</v>
      </c>
    </row>
    <row r="14" spans="1:11" ht="25.5" customHeight="1" outlineLevel="1" x14ac:dyDescent="0.3">
      <c r="A14" s="396"/>
      <c r="B14" s="396"/>
      <c r="C14" s="404"/>
      <c r="D14" s="328">
        <v>2100</v>
      </c>
      <c r="E14" s="47">
        <v>0.1</v>
      </c>
      <c r="F14" s="46">
        <f>CEILING(F13*(1+E14), 50)</f>
        <v>28250</v>
      </c>
      <c r="G14" s="46">
        <f t="shared" ref="G14:G21" si="0">F14*(1-$G$8)</f>
        <v>22600</v>
      </c>
      <c r="H14" s="48">
        <f t="shared" ref="H14:H21" si="1">F14*0.61</f>
        <v>17232.5</v>
      </c>
      <c r="I14" s="46">
        <f t="shared" ref="I14:I21" si="2">H14*(1-$I$8)</f>
        <v>15509.25</v>
      </c>
      <c r="J14">
        <v>26350</v>
      </c>
      <c r="K14" s="310">
        <f t="shared" ref="K14:K21" si="3">F14/J14-1</f>
        <v>7.2106261859582466E-2</v>
      </c>
    </row>
    <row r="15" spans="1:11" ht="25.5" customHeight="1" outlineLevel="1" x14ac:dyDescent="0.3">
      <c r="A15" s="396"/>
      <c r="B15" s="396"/>
      <c r="C15" s="404"/>
      <c r="D15" s="328">
        <v>2200</v>
      </c>
      <c r="E15" s="47">
        <v>0.2</v>
      </c>
      <c r="F15" s="46">
        <f>CEILING(F13*(1+E15), 50)</f>
        <v>30800</v>
      </c>
      <c r="G15" s="46">
        <f t="shared" si="0"/>
        <v>24640</v>
      </c>
      <c r="H15" s="48">
        <f t="shared" si="1"/>
        <v>18788</v>
      </c>
      <c r="I15" s="46">
        <f t="shared" si="2"/>
        <v>16909.2</v>
      </c>
      <c r="J15">
        <v>28750</v>
      </c>
      <c r="K15" s="310">
        <f t="shared" si="3"/>
        <v>7.1304347826086856E-2</v>
      </c>
    </row>
    <row r="16" spans="1:11" ht="25.5" customHeight="1" outlineLevel="1" x14ac:dyDescent="0.3">
      <c r="A16" s="396"/>
      <c r="B16" s="396"/>
      <c r="C16" s="404"/>
      <c r="D16" s="328">
        <v>2300</v>
      </c>
      <c r="E16" s="47">
        <v>0.3</v>
      </c>
      <c r="F16" s="46">
        <f>CEILING(F13*(1+E16), 50)</f>
        <v>33350</v>
      </c>
      <c r="G16" s="46">
        <f t="shared" si="0"/>
        <v>26680</v>
      </c>
      <c r="H16" s="48">
        <f t="shared" si="1"/>
        <v>20343.5</v>
      </c>
      <c r="I16" s="46">
        <f t="shared" si="2"/>
        <v>18309.150000000001</v>
      </c>
      <c r="J16">
        <v>31150</v>
      </c>
      <c r="K16" s="310">
        <f t="shared" si="3"/>
        <v>7.0626003210272792E-2</v>
      </c>
    </row>
    <row r="17" spans="1:11" ht="25.5" customHeight="1" outlineLevel="1" x14ac:dyDescent="0.3">
      <c r="A17" s="396"/>
      <c r="B17" s="396"/>
      <c r="C17" s="404"/>
      <c r="D17" s="328">
        <v>2400</v>
      </c>
      <c r="E17" s="47">
        <v>0.4</v>
      </c>
      <c r="F17" s="46">
        <f>CEILING(F13*(1+E17), 50)</f>
        <v>35900</v>
      </c>
      <c r="G17" s="46">
        <f t="shared" ref="G17" si="4">F17*(1-$G$8)</f>
        <v>28720</v>
      </c>
      <c r="H17" s="48"/>
      <c r="I17" s="46"/>
      <c r="K17" s="310"/>
    </row>
    <row r="18" spans="1:11" s="49" customFormat="1" ht="27" customHeight="1" x14ac:dyDescent="0.3">
      <c r="A18" s="396"/>
      <c r="B18" s="396"/>
      <c r="C18" s="404">
        <v>900</v>
      </c>
      <c r="D18" s="50">
        <v>2000</v>
      </c>
      <c r="E18" s="50" t="s">
        <v>70</v>
      </c>
      <c r="F18" s="48">
        <f>CEILING(F13*(1+10%), 50)</f>
        <v>28250</v>
      </c>
      <c r="G18" s="48">
        <f t="shared" si="0"/>
        <v>22600</v>
      </c>
      <c r="H18" s="48">
        <f t="shared" si="1"/>
        <v>17232.5</v>
      </c>
      <c r="I18" s="48">
        <f t="shared" si="2"/>
        <v>15509.25</v>
      </c>
      <c r="J18" s="49">
        <v>26350</v>
      </c>
      <c r="K18" s="310">
        <f t="shared" si="3"/>
        <v>7.2106261859582466E-2</v>
      </c>
    </row>
    <row r="19" spans="1:11" ht="25.5" customHeight="1" outlineLevel="1" x14ac:dyDescent="0.3">
      <c r="A19" s="396"/>
      <c r="B19" s="396"/>
      <c r="C19" s="404"/>
      <c r="D19" s="328">
        <v>2100</v>
      </c>
      <c r="E19" s="47">
        <v>0.1</v>
      </c>
      <c r="F19" s="46">
        <f>CEILING(F18*(1+E19), 50)</f>
        <v>31100</v>
      </c>
      <c r="G19" s="46">
        <f t="shared" si="0"/>
        <v>24880</v>
      </c>
      <c r="H19" s="48">
        <f t="shared" si="1"/>
        <v>18971</v>
      </c>
      <c r="I19" s="46">
        <f t="shared" si="2"/>
        <v>17073.900000000001</v>
      </c>
      <c r="J19">
        <v>29000</v>
      </c>
      <c r="K19" s="310">
        <f t="shared" si="3"/>
        <v>7.241379310344831E-2</v>
      </c>
    </row>
    <row r="20" spans="1:11" ht="25.5" customHeight="1" outlineLevel="1" x14ac:dyDescent="0.3">
      <c r="A20" s="396"/>
      <c r="B20" s="396"/>
      <c r="C20" s="404"/>
      <c r="D20" s="328">
        <v>2200</v>
      </c>
      <c r="E20" s="47">
        <v>0.2</v>
      </c>
      <c r="F20" s="46">
        <f>CEILING(F18*(1+E20), 50)</f>
        <v>33900</v>
      </c>
      <c r="G20" s="46">
        <f t="shared" si="0"/>
        <v>27120</v>
      </c>
      <c r="H20" s="48">
        <f t="shared" si="1"/>
        <v>20679</v>
      </c>
      <c r="I20" s="46">
        <f t="shared" si="2"/>
        <v>18611.100000000002</v>
      </c>
      <c r="J20">
        <v>31650</v>
      </c>
      <c r="K20" s="310">
        <f t="shared" si="3"/>
        <v>7.1090047393364886E-2</v>
      </c>
    </row>
    <row r="21" spans="1:11" ht="25.5" customHeight="1" outlineLevel="1" x14ac:dyDescent="0.3">
      <c r="A21" s="396"/>
      <c r="B21" s="396"/>
      <c r="C21" s="404"/>
      <c r="D21" s="328">
        <v>2300</v>
      </c>
      <c r="E21" s="47">
        <v>0.3</v>
      </c>
      <c r="F21" s="46">
        <f>CEILING(F18*(1+E21), 50)</f>
        <v>36750</v>
      </c>
      <c r="G21" s="46">
        <f t="shared" si="0"/>
        <v>29400</v>
      </c>
      <c r="H21" s="48">
        <f t="shared" si="1"/>
        <v>22417.5</v>
      </c>
      <c r="I21" s="46">
        <f t="shared" si="2"/>
        <v>20175.75</v>
      </c>
      <c r="J21">
        <v>34300</v>
      </c>
      <c r="K21" s="310">
        <f t="shared" si="3"/>
        <v>7.1428571428571397E-2</v>
      </c>
    </row>
    <row r="22" spans="1:11" ht="25.5" customHeight="1" outlineLevel="1" x14ac:dyDescent="0.3">
      <c r="A22" s="396"/>
      <c r="B22" s="396"/>
      <c r="C22" s="404"/>
      <c r="D22" s="328">
        <v>2400</v>
      </c>
      <c r="E22" s="47">
        <v>0.4</v>
      </c>
      <c r="F22" s="46">
        <f>CEILING(F18*(1+E22), 50)</f>
        <v>39550</v>
      </c>
      <c r="G22" s="46">
        <f t="shared" ref="G22" si="5">F22*(1-$G$8)</f>
        <v>31640</v>
      </c>
      <c r="H22" s="73"/>
      <c r="I22" s="74"/>
      <c r="K22" s="310"/>
    </row>
    <row r="23" spans="1:11" ht="15.6" customHeight="1" x14ac:dyDescent="0.3">
      <c r="A23" s="36"/>
      <c r="B23" s="36"/>
      <c r="C23" s="36"/>
      <c r="D23" s="36"/>
      <c r="E23" s="36"/>
      <c r="F23" s="36"/>
      <c r="G23" s="36"/>
    </row>
    <row r="24" spans="1:11" ht="15.6" customHeight="1" x14ac:dyDescent="0.3">
      <c r="A24" s="158" t="s">
        <v>231</v>
      </c>
      <c r="B24" s="36"/>
      <c r="C24" s="36"/>
      <c r="D24" s="36"/>
      <c r="E24" s="36"/>
      <c r="F24" s="36"/>
      <c r="G24" s="36"/>
    </row>
    <row r="25" spans="1:11" ht="15.6" customHeight="1" x14ac:dyDescent="0.3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 x14ac:dyDescent="0.3">
      <c r="A26" s="408" t="s">
        <v>151</v>
      </c>
      <c r="B26" s="409"/>
      <c r="C26" s="409"/>
      <c r="D26" s="409"/>
      <c r="E26" s="409">
        <v>1.1000000000000001</v>
      </c>
      <c r="F26" s="409">
        <v>1.2</v>
      </c>
      <c r="G26" s="410">
        <v>1.45</v>
      </c>
    </row>
    <row r="27" spans="1:11" ht="15.6" customHeight="1" x14ac:dyDescent="0.3">
      <c r="A27" s="436" t="s">
        <v>175</v>
      </c>
      <c r="B27" s="436"/>
      <c r="C27" s="120"/>
      <c r="D27" s="437" t="s">
        <v>144</v>
      </c>
      <c r="E27" s="437"/>
      <c r="F27" s="437"/>
      <c r="G27" s="437"/>
      <c r="H27" s="107"/>
      <c r="I27" s="107"/>
    </row>
    <row r="28" spans="1:11" ht="37.5" customHeight="1" x14ac:dyDescent="0.3">
      <c r="A28" s="436"/>
      <c r="B28" s="436"/>
      <c r="C28" s="111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 x14ac:dyDescent="0.3">
      <c r="A29" s="438" t="s">
        <v>162</v>
      </c>
      <c r="B29" s="438"/>
      <c r="C29" s="50">
        <v>2000</v>
      </c>
      <c r="D29" s="285" t="s">
        <v>368</v>
      </c>
      <c r="E29" s="46">
        <f>'Porte39-00'!E40-'Porte39-00'!D40</f>
        <v>500</v>
      </c>
      <c r="F29" s="46">
        <f>'Porte39-00'!F40-'Porte39-00'!D40</f>
        <v>1500</v>
      </c>
      <c r="G29" s="46">
        <f>'Porte39-00'!G40-'Porte39-00'!D40</f>
        <v>2550</v>
      </c>
      <c r="H29" s="107"/>
      <c r="I29" s="107"/>
    </row>
    <row r="30" spans="1:11" ht="15.6" customHeight="1" outlineLevel="1" x14ac:dyDescent="0.3">
      <c r="A30" s="438"/>
      <c r="B30" s="438"/>
      <c r="C30" s="328">
        <v>2100</v>
      </c>
      <c r="D30" s="285" t="s">
        <v>368</v>
      </c>
      <c r="E30" s="46">
        <f>E29*(1+E19)</f>
        <v>550</v>
      </c>
      <c r="F30" s="46">
        <f>F29*(1+E19)</f>
        <v>1650.0000000000002</v>
      </c>
      <c r="G30" s="46">
        <f>G29*(1+E19)</f>
        <v>2805</v>
      </c>
    </row>
    <row r="31" spans="1:11" ht="15.6" customHeight="1" outlineLevel="1" x14ac:dyDescent="0.3">
      <c r="A31" s="438"/>
      <c r="B31" s="438"/>
      <c r="C31" s="328">
        <v>2200</v>
      </c>
      <c r="D31" s="285" t="s">
        <v>368</v>
      </c>
      <c r="E31" s="46">
        <f>E29*(1+E20)</f>
        <v>600</v>
      </c>
      <c r="F31" s="46">
        <f>F29*(1+E20)</f>
        <v>1800</v>
      </c>
      <c r="G31" s="46">
        <f>G29*(1+E20)</f>
        <v>3060</v>
      </c>
    </row>
    <row r="32" spans="1:11" ht="15.6" customHeight="1" outlineLevel="1" x14ac:dyDescent="0.3">
      <c r="A32" s="438"/>
      <c r="B32" s="438"/>
      <c r="C32" s="328">
        <v>2300</v>
      </c>
      <c r="D32" s="285" t="s">
        <v>368</v>
      </c>
      <c r="E32" s="46">
        <f>E29*(1+E21)</f>
        <v>650</v>
      </c>
      <c r="F32" s="46">
        <f>F29*(1+E21)</f>
        <v>1950</v>
      </c>
      <c r="G32" s="46">
        <f>G29*(1+E21)</f>
        <v>3315</v>
      </c>
    </row>
    <row r="33" spans="1:15" ht="15.6" customHeight="1" outlineLevel="1" x14ac:dyDescent="0.3">
      <c r="A33" s="438"/>
      <c r="B33" s="438"/>
      <c r="C33" s="328">
        <v>2400</v>
      </c>
      <c r="D33" s="285" t="s">
        <v>368</v>
      </c>
      <c r="E33" s="46">
        <f>E30*(1+E22)</f>
        <v>770</v>
      </c>
      <c r="F33" s="46">
        <f>F30*(1+E22)</f>
        <v>2310</v>
      </c>
      <c r="G33" s="46">
        <f>G30*(1+E22)</f>
        <v>3926.9999999999995</v>
      </c>
    </row>
    <row r="34" spans="1:15" ht="15.6" customHeight="1" x14ac:dyDescent="0.3">
      <c r="A34" s="63"/>
      <c r="B34" s="36"/>
      <c r="C34" s="36"/>
      <c r="D34" s="36"/>
      <c r="E34" s="36"/>
      <c r="F34" s="36"/>
      <c r="G34" s="36"/>
    </row>
    <row r="35" spans="1:15" ht="15.6" customHeight="1" x14ac:dyDescent="0.3">
      <c r="A35" s="408" t="s">
        <v>152</v>
      </c>
      <c r="B35" s="409"/>
      <c r="C35" s="409"/>
      <c r="D35" s="409"/>
      <c r="E35" s="409">
        <v>1.1000000000000001</v>
      </c>
      <c r="F35" s="409">
        <v>1.2</v>
      </c>
      <c r="G35" s="410">
        <v>1.45</v>
      </c>
    </row>
    <row r="36" spans="1:15" ht="15.6" customHeight="1" x14ac:dyDescent="0.3">
      <c r="A36" s="451" t="s">
        <v>83</v>
      </c>
      <c r="B36" s="452"/>
      <c r="C36" s="439" t="s">
        <v>153</v>
      </c>
      <c r="D36" s="440"/>
      <c r="E36" s="440"/>
      <c r="F36" s="440"/>
      <c r="G36" s="440"/>
      <c r="H36" s="107"/>
      <c r="I36" s="107"/>
    </row>
    <row r="37" spans="1:15" ht="21.75" customHeight="1" x14ac:dyDescent="0.3">
      <c r="A37" s="453"/>
      <c r="B37" s="454"/>
      <c r="C37" s="113" t="s">
        <v>65</v>
      </c>
      <c r="D37" s="113" t="s">
        <v>66</v>
      </c>
      <c r="E37" s="211" t="s">
        <v>155</v>
      </c>
      <c r="F37" s="211" t="s">
        <v>156</v>
      </c>
      <c r="G37" s="211" t="s">
        <v>157</v>
      </c>
      <c r="H37" s="107"/>
      <c r="I37" s="107"/>
    </row>
    <row r="38" spans="1:15" ht="15.6" customHeight="1" x14ac:dyDescent="0.3">
      <c r="A38" s="396" t="s">
        <v>184</v>
      </c>
      <c r="B38" s="396"/>
      <c r="C38" s="404" t="s">
        <v>67</v>
      </c>
      <c r="D38" s="50">
        <v>2000</v>
      </c>
      <c r="E38" s="46">
        <v>1600</v>
      </c>
      <c r="F38" s="46">
        <v>5700</v>
      </c>
      <c r="G38" s="46">
        <v>5700</v>
      </c>
      <c r="H38" s="107"/>
      <c r="I38" s="107"/>
      <c r="J38" s="46">
        <v>1500</v>
      </c>
      <c r="K38" s="46">
        <v>3600</v>
      </c>
      <c r="L38" s="46">
        <v>3600</v>
      </c>
      <c r="M38" s="311">
        <f>E38/J38-1</f>
        <v>6.6666666666666652E-2</v>
      </c>
      <c r="N38" s="311">
        <f t="shared" ref="N38:O47" si="6">F38/K38-1</f>
        <v>0.58333333333333326</v>
      </c>
      <c r="O38" s="311">
        <f t="shared" si="6"/>
        <v>0.58333333333333326</v>
      </c>
    </row>
    <row r="39" spans="1:15" ht="15.6" customHeight="1" outlineLevel="1" x14ac:dyDescent="0.3">
      <c r="A39" s="396"/>
      <c r="B39" s="396"/>
      <c r="C39" s="404"/>
      <c r="D39" s="328">
        <v>2100</v>
      </c>
      <c r="E39" s="46">
        <f>E38*(1+E14)</f>
        <v>1760.0000000000002</v>
      </c>
      <c r="F39" s="46">
        <f>F38*(1+E14)</f>
        <v>6270.0000000000009</v>
      </c>
      <c r="G39" s="46">
        <f>G38*(1+E14)</f>
        <v>6270.0000000000009</v>
      </c>
      <c r="H39" s="107"/>
      <c r="I39" s="107"/>
      <c r="J39" s="46">
        <v>1650.0000000000002</v>
      </c>
      <c r="K39" s="46">
        <v>3960.0000000000005</v>
      </c>
      <c r="L39" s="46">
        <v>3960.0000000000005</v>
      </c>
      <c r="M39" s="311">
        <f t="shared" ref="M39:M47" si="7">E39/J39-1</f>
        <v>6.6666666666666652E-2</v>
      </c>
      <c r="N39" s="311">
        <f t="shared" si="6"/>
        <v>0.58333333333333348</v>
      </c>
      <c r="O39" s="311">
        <f t="shared" si="6"/>
        <v>0.58333333333333348</v>
      </c>
    </row>
    <row r="40" spans="1:15" ht="15.6" customHeight="1" outlineLevel="1" x14ac:dyDescent="0.3">
      <c r="A40" s="396"/>
      <c r="B40" s="396"/>
      <c r="C40" s="404"/>
      <c r="D40" s="328">
        <v>2200</v>
      </c>
      <c r="E40" s="46">
        <f>E38*(1+E15)</f>
        <v>1920</v>
      </c>
      <c r="F40" s="46">
        <f>F38*(1+E15)</f>
        <v>6840</v>
      </c>
      <c r="G40" s="46">
        <f>G38*(1+E15)</f>
        <v>6840</v>
      </c>
      <c r="H40" s="107"/>
      <c r="I40" s="107"/>
      <c r="J40" s="46">
        <v>1800</v>
      </c>
      <c r="K40" s="46">
        <v>4320</v>
      </c>
      <c r="L40" s="46">
        <v>4320</v>
      </c>
      <c r="M40" s="311">
        <f t="shared" si="7"/>
        <v>6.6666666666666652E-2</v>
      </c>
      <c r="N40" s="311">
        <f t="shared" si="6"/>
        <v>0.58333333333333326</v>
      </c>
      <c r="O40" s="311">
        <f t="shared" si="6"/>
        <v>0.58333333333333326</v>
      </c>
    </row>
    <row r="41" spans="1:15" ht="15.6" customHeight="1" outlineLevel="1" x14ac:dyDescent="0.3">
      <c r="A41" s="396"/>
      <c r="B41" s="396"/>
      <c r="C41" s="404"/>
      <c r="D41" s="328">
        <v>2300</v>
      </c>
      <c r="E41" s="46">
        <f>E38*(1+E16)</f>
        <v>2080</v>
      </c>
      <c r="F41" s="46">
        <f>F38*(1+E16)</f>
        <v>7410</v>
      </c>
      <c r="G41" s="46">
        <f>G38*(1+E16)</f>
        <v>7410</v>
      </c>
      <c r="H41" s="107"/>
      <c r="I41" s="107"/>
      <c r="J41" s="46">
        <v>1950</v>
      </c>
      <c r="K41" s="46">
        <v>4680</v>
      </c>
      <c r="L41" s="46">
        <v>4680</v>
      </c>
      <c r="M41" s="311">
        <f t="shared" si="7"/>
        <v>6.6666666666666652E-2</v>
      </c>
      <c r="N41" s="311">
        <f t="shared" si="6"/>
        <v>0.58333333333333326</v>
      </c>
      <c r="O41" s="311">
        <f t="shared" si="6"/>
        <v>0.58333333333333326</v>
      </c>
    </row>
    <row r="42" spans="1:15" ht="15.6" customHeight="1" outlineLevel="1" x14ac:dyDescent="0.3">
      <c r="A42" s="396"/>
      <c r="B42" s="396"/>
      <c r="C42" s="404"/>
      <c r="D42" s="328">
        <v>2400</v>
      </c>
      <c r="E42" s="46">
        <f>E39*(1+E17)</f>
        <v>2464</v>
      </c>
      <c r="F42" s="46">
        <f>F39*(1+E17)</f>
        <v>8778</v>
      </c>
      <c r="G42" s="46">
        <f>G39*(1+E17)</f>
        <v>8778</v>
      </c>
      <c r="H42" s="107"/>
      <c r="I42" s="107"/>
      <c r="J42" s="46">
        <v>2310</v>
      </c>
      <c r="K42" s="46">
        <v>5544</v>
      </c>
      <c r="L42" s="46">
        <v>5544</v>
      </c>
      <c r="M42" s="311">
        <f t="shared" si="7"/>
        <v>6.6666666666666652E-2</v>
      </c>
      <c r="N42" s="311">
        <f t="shared" si="6"/>
        <v>0.58333333333333326</v>
      </c>
      <c r="O42" s="311">
        <f t="shared" si="6"/>
        <v>0.58333333333333326</v>
      </c>
    </row>
    <row r="43" spans="1:15" ht="15.6" customHeight="1" x14ac:dyDescent="0.3">
      <c r="A43" s="396"/>
      <c r="B43" s="396"/>
      <c r="C43" s="404">
        <v>900</v>
      </c>
      <c r="D43" s="50">
        <v>2000</v>
      </c>
      <c r="E43" s="46">
        <f>E38*1.1</f>
        <v>1760.0000000000002</v>
      </c>
      <c r="F43" s="46">
        <f t="shared" ref="F43:G43" si="8">F38*1.1</f>
        <v>6270.0000000000009</v>
      </c>
      <c r="G43" s="46">
        <f t="shared" si="8"/>
        <v>6270.0000000000009</v>
      </c>
      <c r="H43" s="107"/>
      <c r="I43" s="107"/>
      <c r="J43" s="46">
        <v>1650.0000000000002</v>
      </c>
      <c r="K43" s="46">
        <v>3960.0000000000005</v>
      </c>
      <c r="L43" s="46">
        <v>3960.0000000000005</v>
      </c>
      <c r="M43" s="311">
        <f t="shared" si="7"/>
        <v>6.6666666666666652E-2</v>
      </c>
      <c r="N43" s="311">
        <f t="shared" si="6"/>
        <v>0.58333333333333348</v>
      </c>
      <c r="O43" s="311">
        <f t="shared" si="6"/>
        <v>0.58333333333333348</v>
      </c>
    </row>
    <row r="44" spans="1:15" ht="15.6" customHeight="1" outlineLevel="1" x14ac:dyDescent="0.3">
      <c r="A44" s="396"/>
      <c r="B44" s="396"/>
      <c r="C44" s="404"/>
      <c r="D44" s="328">
        <v>2100</v>
      </c>
      <c r="E44" s="46">
        <f t="shared" ref="E44:G47" si="9">E39*1.1</f>
        <v>1936.0000000000005</v>
      </c>
      <c r="F44" s="46">
        <f t="shared" si="9"/>
        <v>6897.0000000000018</v>
      </c>
      <c r="G44" s="46">
        <f t="shared" si="9"/>
        <v>6897.0000000000018</v>
      </c>
      <c r="H44" s="107"/>
      <c r="I44" s="107"/>
      <c r="J44" s="46">
        <v>1815.0000000000005</v>
      </c>
      <c r="K44" s="46">
        <v>4356.0000000000009</v>
      </c>
      <c r="L44" s="46">
        <v>4356.0000000000009</v>
      </c>
      <c r="M44" s="311">
        <f t="shared" si="7"/>
        <v>6.6666666666666652E-2</v>
      </c>
      <c r="N44" s="311">
        <f t="shared" si="6"/>
        <v>0.58333333333333348</v>
      </c>
      <c r="O44" s="311">
        <f t="shared" si="6"/>
        <v>0.58333333333333348</v>
      </c>
    </row>
    <row r="45" spans="1:15" ht="15.6" customHeight="1" outlineLevel="1" x14ac:dyDescent="0.3">
      <c r="A45" s="396"/>
      <c r="B45" s="396"/>
      <c r="C45" s="404"/>
      <c r="D45" s="328">
        <v>2200</v>
      </c>
      <c r="E45" s="46">
        <f t="shared" si="9"/>
        <v>2112</v>
      </c>
      <c r="F45" s="46">
        <f t="shared" si="9"/>
        <v>7524.0000000000009</v>
      </c>
      <c r="G45" s="46">
        <f t="shared" si="9"/>
        <v>7524.0000000000009</v>
      </c>
      <c r="H45" s="107"/>
      <c r="I45" s="107"/>
      <c r="J45" s="46">
        <v>1980.0000000000002</v>
      </c>
      <c r="K45" s="46">
        <v>4752</v>
      </c>
      <c r="L45" s="46">
        <v>4752</v>
      </c>
      <c r="M45" s="311">
        <f t="shared" si="7"/>
        <v>6.6666666666666652E-2</v>
      </c>
      <c r="N45" s="311">
        <f t="shared" si="6"/>
        <v>0.58333333333333348</v>
      </c>
      <c r="O45" s="311">
        <f t="shared" si="6"/>
        <v>0.58333333333333348</v>
      </c>
    </row>
    <row r="46" spans="1:15" ht="15.6" customHeight="1" outlineLevel="1" x14ac:dyDescent="0.3">
      <c r="A46" s="396"/>
      <c r="B46" s="396"/>
      <c r="C46" s="404"/>
      <c r="D46" s="328">
        <v>2300</v>
      </c>
      <c r="E46" s="46">
        <f t="shared" si="9"/>
        <v>2288</v>
      </c>
      <c r="F46" s="46">
        <f t="shared" si="9"/>
        <v>8151.0000000000009</v>
      </c>
      <c r="G46" s="46">
        <f t="shared" si="9"/>
        <v>8151.0000000000009</v>
      </c>
      <c r="H46" s="107"/>
      <c r="I46" s="107"/>
      <c r="J46" s="46">
        <v>2145</v>
      </c>
      <c r="K46" s="46">
        <v>5148</v>
      </c>
      <c r="L46" s="46">
        <v>5148</v>
      </c>
      <c r="M46" s="311">
        <f t="shared" si="7"/>
        <v>6.6666666666666652E-2</v>
      </c>
      <c r="N46" s="311">
        <f t="shared" si="6"/>
        <v>0.58333333333333348</v>
      </c>
      <c r="O46" s="311">
        <f t="shared" si="6"/>
        <v>0.58333333333333348</v>
      </c>
    </row>
    <row r="47" spans="1:15" ht="15.6" customHeight="1" outlineLevel="1" x14ac:dyDescent="0.3">
      <c r="A47" s="396"/>
      <c r="B47" s="396"/>
      <c r="C47" s="404"/>
      <c r="D47" s="328">
        <v>2400</v>
      </c>
      <c r="E47" s="46">
        <f t="shared" si="9"/>
        <v>2710.4</v>
      </c>
      <c r="F47" s="46">
        <f t="shared" si="9"/>
        <v>9655.8000000000011</v>
      </c>
      <c r="G47" s="46">
        <f t="shared" si="9"/>
        <v>9655.8000000000011</v>
      </c>
      <c r="H47" s="107"/>
      <c r="I47" s="107"/>
      <c r="J47" s="46">
        <v>2541</v>
      </c>
      <c r="K47" s="46">
        <v>6098.4000000000005</v>
      </c>
      <c r="L47" s="46">
        <v>6098.4000000000005</v>
      </c>
      <c r="M47" s="311">
        <f t="shared" si="7"/>
        <v>6.6666666666666652E-2</v>
      </c>
      <c r="N47" s="311">
        <f t="shared" si="6"/>
        <v>0.58333333333333348</v>
      </c>
      <c r="O47" s="311">
        <f t="shared" si="6"/>
        <v>0.58333333333333348</v>
      </c>
    </row>
    <row r="48" spans="1:15" ht="15.6" customHeight="1" x14ac:dyDescent="0.3">
      <c r="A48" s="118"/>
      <c r="B48" s="119"/>
      <c r="C48" s="439" t="s">
        <v>159</v>
      </c>
      <c r="D48" s="440"/>
      <c r="E48" s="440"/>
      <c r="F48" s="440"/>
      <c r="G48" s="441"/>
      <c r="H48" s="107"/>
      <c r="I48" s="107"/>
    </row>
    <row r="49" spans="1:15" ht="15.6" customHeight="1" x14ac:dyDescent="0.3">
      <c r="A49" s="396" t="s">
        <v>184</v>
      </c>
      <c r="B49" s="396"/>
      <c r="C49" s="404" t="s">
        <v>67</v>
      </c>
      <c r="D49" s="50">
        <v>2000</v>
      </c>
      <c r="E49" s="46">
        <v>7300</v>
      </c>
      <c r="F49" s="46">
        <v>11500</v>
      </c>
      <c r="G49" s="46">
        <v>7300</v>
      </c>
      <c r="H49" s="107"/>
      <c r="I49" s="107"/>
      <c r="J49">
        <v>4500</v>
      </c>
      <c r="K49">
        <v>7000</v>
      </c>
      <c r="L49">
        <v>7000</v>
      </c>
      <c r="M49" s="311">
        <f>E49/J49-1</f>
        <v>0.62222222222222223</v>
      </c>
      <c r="N49" s="311">
        <f t="shared" ref="N49:O49" si="10">F49/K49-1</f>
        <v>0.64285714285714279</v>
      </c>
      <c r="O49" s="311">
        <f t="shared" si="10"/>
        <v>4.2857142857142927E-2</v>
      </c>
    </row>
    <row r="50" spans="1:15" ht="15.6" customHeight="1" outlineLevel="1" x14ac:dyDescent="0.3">
      <c r="A50" s="396"/>
      <c r="B50" s="396"/>
      <c r="C50" s="404"/>
      <c r="D50" s="328">
        <v>2100</v>
      </c>
      <c r="E50" s="46">
        <f>E49*(1+E19)</f>
        <v>8030.0000000000009</v>
      </c>
      <c r="F50" s="46">
        <f>F49*(1+E19)</f>
        <v>12650.000000000002</v>
      </c>
      <c r="G50" s="46">
        <f>G49*(1+E19)</f>
        <v>8030.0000000000009</v>
      </c>
      <c r="H50" s="107"/>
      <c r="I50" s="107"/>
      <c r="J50">
        <v>4950</v>
      </c>
      <c r="K50">
        <v>7700.0000000000009</v>
      </c>
      <c r="L50">
        <v>7700.0000000000009</v>
      </c>
      <c r="M50" s="311">
        <f t="shared" ref="M50:M58" si="11">E50/J50-1</f>
        <v>0.62222222222222245</v>
      </c>
      <c r="N50" s="311">
        <f t="shared" ref="N50:N58" si="12">F50/K50-1</f>
        <v>0.64285714285714279</v>
      </c>
      <c r="O50" s="311">
        <f t="shared" ref="O50:O58" si="13">G50/L50-1</f>
        <v>4.2857142857142927E-2</v>
      </c>
    </row>
    <row r="51" spans="1:15" ht="15.6" customHeight="1" outlineLevel="1" x14ac:dyDescent="0.3">
      <c r="A51" s="396"/>
      <c r="B51" s="396"/>
      <c r="C51" s="404"/>
      <c r="D51" s="328">
        <v>2200</v>
      </c>
      <c r="E51" s="46">
        <f>E49*(1+E20)</f>
        <v>8760</v>
      </c>
      <c r="F51" s="46">
        <f>F49*(1+E20)</f>
        <v>13800</v>
      </c>
      <c r="G51" s="46">
        <f>G49*(1+E20)</f>
        <v>8760</v>
      </c>
      <c r="H51" s="107"/>
      <c r="I51" s="107"/>
      <c r="J51">
        <v>5400</v>
      </c>
      <c r="K51">
        <v>8400</v>
      </c>
      <c r="L51">
        <v>8400</v>
      </c>
      <c r="M51" s="311">
        <f t="shared" si="11"/>
        <v>0.62222222222222223</v>
      </c>
      <c r="N51" s="311">
        <f t="shared" si="12"/>
        <v>0.64285714285714279</v>
      </c>
      <c r="O51" s="311">
        <f t="shared" si="13"/>
        <v>4.2857142857142927E-2</v>
      </c>
    </row>
    <row r="52" spans="1:15" ht="15.6" customHeight="1" outlineLevel="1" x14ac:dyDescent="0.3">
      <c r="A52" s="396"/>
      <c r="B52" s="396"/>
      <c r="C52" s="404"/>
      <c r="D52" s="328">
        <v>2300</v>
      </c>
      <c r="E52" s="46">
        <f>E49*(1+E21)</f>
        <v>9490</v>
      </c>
      <c r="F52" s="46">
        <f>F49*(1+E21)</f>
        <v>14950</v>
      </c>
      <c r="G52" s="46">
        <f>G49*(1+E21)</f>
        <v>9490</v>
      </c>
      <c r="H52" s="107"/>
      <c r="I52" s="107"/>
      <c r="J52">
        <v>5850</v>
      </c>
      <c r="K52">
        <v>9100</v>
      </c>
      <c r="L52">
        <v>9100</v>
      </c>
      <c r="M52" s="311">
        <f t="shared" si="11"/>
        <v>0.62222222222222223</v>
      </c>
      <c r="N52" s="311">
        <f t="shared" si="12"/>
        <v>0.64285714285714279</v>
      </c>
      <c r="O52" s="311">
        <f t="shared" si="13"/>
        <v>4.2857142857142927E-2</v>
      </c>
    </row>
    <row r="53" spans="1:15" ht="15.6" customHeight="1" outlineLevel="1" x14ac:dyDescent="0.3">
      <c r="A53" s="396"/>
      <c r="B53" s="396"/>
      <c r="C53" s="404"/>
      <c r="D53" s="328">
        <v>2400</v>
      </c>
      <c r="E53" s="46">
        <f>E50*(1+E22)</f>
        <v>11242</v>
      </c>
      <c r="F53" s="46">
        <f>F50*(1+E22)</f>
        <v>17710</v>
      </c>
      <c r="G53" s="46">
        <f>G50*(1+E22)</f>
        <v>11242</v>
      </c>
      <c r="H53" s="107"/>
      <c r="I53" s="107"/>
      <c r="J53">
        <v>6930</v>
      </c>
      <c r="K53">
        <v>10780</v>
      </c>
      <c r="L53">
        <v>10780</v>
      </c>
      <c r="M53" s="311">
        <f t="shared" si="11"/>
        <v>0.62222222222222223</v>
      </c>
      <c r="N53" s="311">
        <f t="shared" si="12"/>
        <v>0.64285714285714279</v>
      </c>
      <c r="O53" s="311">
        <f t="shared" si="13"/>
        <v>4.2857142857142927E-2</v>
      </c>
    </row>
    <row r="54" spans="1:15" ht="15.6" customHeight="1" x14ac:dyDescent="0.3">
      <c r="A54" s="396"/>
      <c r="B54" s="396"/>
      <c r="C54" s="404">
        <v>900</v>
      </c>
      <c r="D54" s="50">
        <v>2000</v>
      </c>
      <c r="E54" s="46">
        <f>E49*1.1</f>
        <v>8030.0000000000009</v>
      </c>
      <c r="F54" s="46">
        <f t="shared" ref="F54:G54" si="14">F49*1.1</f>
        <v>12650.000000000002</v>
      </c>
      <c r="G54" s="46">
        <f t="shared" si="14"/>
        <v>8030.0000000000009</v>
      </c>
      <c r="H54" s="107"/>
      <c r="I54" s="107"/>
      <c r="J54">
        <v>4950</v>
      </c>
      <c r="K54">
        <v>7700.0000000000009</v>
      </c>
      <c r="L54">
        <v>7700.0000000000009</v>
      </c>
      <c r="M54" s="311">
        <f t="shared" si="11"/>
        <v>0.62222222222222245</v>
      </c>
      <c r="N54" s="311">
        <f t="shared" si="12"/>
        <v>0.64285714285714279</v>
      </c>
      <c r="O54" s="311">
        <f t="shared" si="13"/>
        <v>4.2857142857142927E-2</v>
      </c>
    </row>
    <row r="55" spans="1:15" ht="15.6" customHeight="1" outlineLevel="1" x14ac:dyDescent="0.3">
      <c r="A55" s="396"/>
      <c r="B55" s="396"/>
      <c r="C55" s="404"/>
      <c r="D55" s="328">
        <v>2100</v>
      </c>
      <c r="E55" s="46">
        <f t="shared" ref="E55:G58" si="15">E50*1.1</f>
        <v>8833.0000000000018</v>
      </c>
      <c r="F55" s="46">
        <f t="shared" si="15"/>
        <v>13915.000000000004</v>
      </c>
      <c r="G55" s="46">
        <f t="shared" si="15"/>
        <v>8833.0000000000018</v>
      </c>
      <c r="H55" s="107"/>
      <c r="I55" s="107"/>
      <c r="J55">
        <v>5445</v>
      </c>
      <c r="K55">
        <v>8470.0000000000018</v>
      </c>
      <c r="L55">
        <v>8470.0000000000018</v>
      </c>
      <c r="M55" s="311">
        <f t="shared" si="11"/>
        <v>0.62222222222222245</v>
      </c>
      <c r="N55" s="311">
        <f t="shared" si="12"/>
        <v>0.64285714285714302</v>
      </c>
      <c r="O55" s="311">
        <f t="shared" si="13"/>
        <v>4.2857142857142927E-2</v>
      </c>
    </row>
    <row r="56" spans="1:15" ht="15.6" customHeight="1" outlineLevel="1" x14ac:dyDescent="0.3">
      <c r="A56" s="396"/>
      <c r="B56" s="396"/>
      <c r="C56" s="404"/>
      <c r="D56" s="328">
        <v>2200</v>
      </c>
      <c r="E56" s="46">
        <f t="shared" si="15"/>
        <v>9636</v>
      </c>
      <c r="F56" s="46">
        <f t="shared" si="15"/>
        <v>15180.000000000002</v>
      </c>
      <c r="G56" s="46">
        <f t="shared" si="15"/>
        <v>9636</v>
      </c>
      <c r="H56" s="107"/>
      <c r="I56" s="107"/>
      <c r="J56">
        <v>5940.0000000000009</v>
      </c>
      <c r="K56">
        <v>9240</v>
      </c>
      <c r="L56">
        <v>9240</v>
      </c>
      <c r="M56" s="311">
        <f t="shared" si="11"/>
        <v>0.62222222222222201</v>
      </c>
      <c r="N56" s="311">
        <f t="shared" si="12"/>
        <v>0.64285714285714302</v>
      </c>
      <c r="O56" s="311">
        <f t="shared" si="13"/>
        <v>4.2857142857142927E-2</v>
      </c>
    </row>
    <row r="57" spans="1:15" ht="15.6" customHeight="1" outlineLevel="1" x14ac:dyDescent="0.3">
      <c r="A57" s="396"/>
      <c r="B57" s="396"/>
      <c r="C57" s="404"/>
      <c r="D57" s="328">
        <v>2300</v>
      </c>
      <c r="E57" s="46">
        <f t="shared" si="15"/>
        <v>10439</v>
      </c>
      <c r="F57" s="46">
        <f t="shared" si="15"/>
        <v>16445</v>
      </c>
      <c r="G57" s="46">
        <f t="shared" si="15"/>
        <v>10439</v>
      </c>
      <c r="H57" s="107"/>
      <c r="I57" s="107"/>
      <c r="J57">
        <v>6435.0000000000009</v>
      </c>
      <c r="K57">
        <v>10010</v>
      </c>
      <c r="L57">
        <v>10010</v>
      </c>
      <c r="M57" s="311">
        <f t="shared" si="11"/>
        <v>0.62222222222222201</v>
      </c>
      <c r="N57" s="311">
        <f t="shared" si="12"/>
        <v>0.64285714285714279</v>
      </c>
      <c r="O57" s="311">
        <f t="shared" si="13"/>
        <v>4.2857142857142927E-2</v>
      </c>
    </row>
    <row r="58" spans="1:15" ht="15.6" customHeight="1" outlineLevel="1" x14ac:dyDescent="0.3">
      <c r="A58" s="396"/>
      <c r="B58" s="396"/>
      <c r="C58" s="404"/>
      <c r="D58" s="328">
        <v>2400</v>
      </c>
      <c r="E58" s="46">
        <f t="shared" si="15"/>
        <v>12366.2</v>
      </c>
      <c r="F58" s="46">
        <f t="shared" si="15"/>
        <v>19481</v>
      </c>
      <c r="G58" s="46">
        <f t="shared" si="15"/>
        <v>12366.2</v>
      </c>
      <c r="H58" s="107"/>
      <c r="I58" s="107"/>
      <c r="J58">
        <v>7623.0000000000009</v>
      </c>
      <c r="K58">
        <v>11858.000000000002</v>
      </c>
      <c r="L58">
        <v>11858.000000000002</v>
      </c>
      <c r="M58" s="311">
        <f t="shared" si="11"/>
        <v>0.62222222222222223</v>
      </c>
      <c r="N58" s="311">
        <f t="shared" si="12"/>
        <v>0.64285714285714257</v>
      </c>
      <c r="O58" s="311">
        <f t="shared" si="13"/>
        <v>4.2857142857142705E-2</v>
      </c>
    </row>
    <row r="59" spans="1:15" ht="15.6" customHeight="1" x14ac:dyDescent="0.3">
      <c r="A59" s="114"/>
      <c r="B59" s="115"/>
      <c r="C59" s="439" t="s">
        <v>154</v>
      </c>
      <c r="D59" s="440"/>
      <c r="E59" s="440"/>
      <c r="F59" s="440"/>
      <c r="G59" s="441"/>
      <c r="H59" s="107"/>
      <c r="I59" s="107"/>
    </row>
    <row r="60" spans="1:15" ht="48" x14ac:dyDescent="0.3">
      <c r="A60" s="116"/>
      <c r="B60" s="117"/>
      <c r="C60" s="113" t="s">
        <v>65</v>
      </c>
      <c r="D60" s="113" t="s">
        <v>66</v>
      </c>
      <c r="E60" s="211" t="s">
        <v>325</v>
      </c>
      <c r="F60" s="211" t="s">
        <v>391</v>
      </c>
      <c r="G60" s="212" t="s">
        <v>158</v>
      </c>
      <c r="H60" s="107"/>
      <c r="I60" s="107"/>
    </row>
    <row r="61" spans="1:15" ht="15.6" customHeight="1" x14ac:dyDescent="0.3">
      <c r="A61" s="396" t="s">
        <v>184</v>
      </c>
      <c r="B61" s="396"/>
      <c r="C61" s="404" t="s">
        <v>67</v>
      </c>
      <c r="D61" s="50">
        <v>2000</v>
      </c>
      <c r="E61" s="285" t="s">
        <v>368</v>
      </c>
      <c r="F61" s="334">
        <v>1550</v>
      </c>
      <c r="G61" s="334">
        <v>3150</v>
      </c>
      <c r="H61" s="107"/>
      <c r="I61" s="107"/>
      <c r="J61" s="334">
        <v>1500</v>
      </c>
      <c r="K61" s="334">
        <v>3000</v>
      </c>
      <c r="L61" s="311">
        <f>F61/J61-1</f>
        <v>3.3333333333333437E-2</v>
      </c>
      <c r="M61" s="311">
        <f>G61/K61-1</f>
        <v>5.0000000000000044E-2</v>
      </c>
    </row>
    <row r="62" spans="1:15" ht="15.6" customHeight="1" outlineLevel="1" x14ac:dyDescent="0.3">
      <c r="A62" s="396"/>
      <c r="B62" s="396"/>
      <c r="C62" s="404"/>
      <c r="D62" s="328">
        <v>2100</v>
      </c>
      <c r="E62" s="285" t="s">
        <v>368</v>
      </c>
      <c r="F62" s="334">
        <v>1550</v>
      </c>
      <c r="G62" s="334">
        <v>3150</v>
      </c>
      <c r="H62" s="107"/>
      <c r="I62" s="107"/>
      <c r="J62" s="334">
        <v>1500</v>
      </c>
      <c r="K62" s="334">
        <v>3000</v>
      </c>
      <c r="L62" s="311">
        <f t="shared" ref="L62:M70" si="16">F62/J62-1</f>
        <v>3.3333333333333437E-2</v>
      </c>
      <c r="M62" s="311">
        <f t="shared" si="16"/>
        <v>5.0000000000000044E-2</v>
      </c>
    </row>
    <row r="63" spans="1:15" ht="15.6" customHeight="1" outlineLevel="1" x14ac:dyDescent="0.3">
      <c r="A63" s="396"/>
      <c r="B63" s="396"/>
      <c r="C63" s="404"/>
      <c r="D63" s="328">
        <v>2200</v>
      </c>
      <c r="E63" s="285" t="s">
        <v>368</v>
      </c>
      <c r="F63" s="334">
        <v>1550</v>
      </c>
      <c r="G63" s="334">
        <v>3150</v>
      </c>
      <c r="H63" s="107"/>
      <c r="I63" s="107"/>
      <c r="J63" s="334">
        <v>1500</v>
      </c>
      <c r="K63" s="334">
        <v>3000</v>
      </c>
      <c r="L63" s="311">
        <f t="shared" si="16"/>
        <v>3.3333333333333437E-2</v>
      </c>
      <c r="M63" s="311">
        <f t="shared" si="16"/>
        <v>5.0000000000000044E-2</v>
      </c>
    </row>
    <row r="64" spans="1:15" ht="15.6" customHeight="1" outlineLevel="1" x14ac:dyDescent="0.3">
      <c r="A64" s="396"/>
      <c r="B64" s="396"/>
      <c r="C64" s="404"/>
      <c r="D64" s="328">
        <v>2300</v>
      </c>
      <c r="E64" s="285" t="s">
        <v>368</v>
      </c>
      <c r="F64" s="334">
        <v>1550</v>
      </c>
      <c r="G64" s="334">
        <v>3150</v>
      </c>
      <c r="H64" s="107"/>
      <c r="I64" s="107"/>
      <c r="J64" s="334">
        <v>1500</v>
      </c>
      <c r="K64" s="334">
        <v>3000</v>
      </c>
      <c r="L64" s="311">
        <f t="shared" si="16"/>
        <v>3.3333333333333437E-2</v>
      </c>
      <c r="M64" s="311">
        <f t="shared" si="16"/>
        <v>5.0000000000000044E-2</v>
      </c>
    </row>
    <row r="65" spans="1:15" ht="15.6" customHeight="1" outlineLevel="1" x14ac:dyDescent="0.3">
      <c r="A65" s="396"/>
      <c r="B65" s="396"/>
      <c r="C65" s="404"/>
      <c r="D65" s="328">
        <v>2400</v>
      </c>
      <c r="E65" s="285" t="s">
        <v>368</v>
      </c>
      <c r="F65" s="334">
        <v>1550</v>
      </c>
      <c r="G65" s="334">
        <v>3150</v>
      </c>
      <c r="H65" s="107"/>
      <c r="I65" s="107"/>
      <c r="J65" s="334">
        <v>1500</v>
      </c>
      <c r="K65" s="334">
        <v>3000</v>
      </c>
      <c r="L65" s="311">
        <f t="shared" si="16"/>
        <v>3.3333333333333437E-2</v>
      </c>
      <c r="M65" s="311">
        <f t="shared" si="16"/>
        <v>5.0000000000000044E-2</v>
      </c>
    </row>
    <row r="66" spans="1:15" ht="15.6" customHeight="1" x14ac:dyDescent="0.3">
      <c r="A66" s="396"/>
      <c r="B66" s="396"/>
      <c r="C66" s="404">
        <v>900</v>
      </c>
      <c r="D66" s="50">
        <v>2000</v>
      </c>
      <c r="E66" s="285" t="s">
        <v>368</v>
      </c>
      <c r="F66" s="334">
        <v>1550</v>
      </c>
      <c r="G66" s="334">
        <v>3150</v>
      </c>
      <c r="H66" s="107"/>
      <c r="I66" s="107"/>
      <c r="J66" s="334">
        <v>1500</v>
      </c>
      <c r="K66" s="334">
        <v>3000</v>
      </c>
      <c r="L66" s="311">
        <f t="shared" si="16"/>
        <v>3.3333333333333437E-2</v>
      </c>
      <c r="M66" s="311">
        <f t="shared" si="16"/>
        <v>5.0000000000000044E-2</v>
      </c>
    </row>
    <row r="67" spans="1:15" ht="15.6" customHeight="1" outlineLevel="1" x14ac:dyDescent="0.3">
      <c r="A67" s="396"/>
      <c r="B67" s="396"/>
      <c r="C67" s="404"/>
      <c r="D67" s="328">
        <v>2100</v>
      </c>
      <c r="E67" s="285" t="s">
        <v>368</v>
      </c>
      <c r="F67" s="334">
        <v>1550</v>
      </c>
      <c r="G67" s="334">
        <v>3150</v>
      </c>
      <c r="H67" s="107"/>
      <c r="I67" s="107"/>
      <c r="J67" s="334">
        <v>1500</v>
      </c>
      <c r="K67" s="334">
        <v>3000</v>
      </c>
      <c r="L67" s="311">
        <f t="shared" si="16"/>
        <v>3.3333333333333437E-2</v>
      </c>
      <c r="M67" s="311">
        <f t="shared" si="16"/>
        <v>5.0000000000000044E-2</v>
      </c>
    </row>
    <row r="68" spans="1:15" ht="15.6" customHeight="1" outlineLevel="1" x14ac:dyDescent="0.3">
      <c r="A68" s="396"/>
      <c r="B68" s="396"/>
      <c r="C68" s="404"/>
      <c r="D68" s="328">
        <v>2200</v>
      </c>
      <c r="E68" s="285" t="s">
        <v>368</v>
      </c>
      <c r="F68" s="334">
        <v>1550</v>
      </c>
      <c r="G68" s="334">
        <v>3150</v>
      </c>
      <c r="H68" s="107"/>
      <c r="I68" s="107"/>
      <c r="J68" s="334">
        <v>1500</v>
      </c>
      <c r="K68" s="334">
        <v>3000</v>
      </c>
      <c r="L68" s="311">
        <f t="shared" si="16"/>
        <v>3.3333333333333437E-2</v>
      </c>
      <c r="M68" s="311">
        <f t="shared" si="16"/>
        <v>5.0000000000000044E-2</v>
      </c>
    </row>
    <row r="69" spans="1:15" ht="15.6" customHeight="1" outlineLevel="1" x14ac:dyDescent="0.3">
      <c r="A69" s="396"/>
      <c r="B69" s="396"/>
      <c r="C69" s="404"/>
      <c r="D69" s="328">
        <v>2300</v>
      </c>
      <c r="E69" s="285" t="s">
        <v>368</v>
      </c>
      <c r="F69" s="334">
        <v>1550</v>
      </c>
      <c r="G69" s="334">
        <v>3150</v>
      </c>
      <c r="H69" s="107"/>
      <c r="I69" s="107"/>
      <c r="J69" s="334">
        <v>1500</v>
      </c>
      <c r="K69" s="334">
        <v>3000</v>
      </c>
      <c r="L69" s="311">
        <f t="shared" si="16"/>
        <v>3.3333333333333437E-2</v>
      </c>
      <c r="M69" s="311">
        <f t="shared" si="16"/>
        <v>5.0000000000000044E-2</v>
      </c>
    </row>
    <row r="70" spans="1:15" ht="15.6" customHeight="1" outlineLevel="1" x14ac:dyDescent="0.3">
      <c r="A70" s="396"/>
      <c r="B70" s="396"/>
      <c r="C70" s="404"/>
      <c r="D70" s="328">
        <v>2400</v>
      </c>
      <c r="E70" s="285" t="s">
        <v>368</v>
      </c>
      <c r="F70" s="334">
        <v>1550</v>
      </c>
      <c r="G70" s="334">
        <v>3150</v>
      </c>
      <c r="H70" s="107"/>
      <c r="I70" s="107"/>
      <c r="J70" s="334">
        <v>1500</v>
      </c>
      <c r="K70" s="334">
        <v>3000</v>
      </c>
      <c r="L70" s="311">
        <f t="shared" si="16"/>
        <v>3.3333333333333437E-2</v>
      </c>
      <c r="M70" s="311">
        <f t="shared" si="16"/>
        <v>5.0000000000000044E-2</v>
      </c>
    </row>
    <row r="71" spans="1:15" ht="15.6" customHeight="1" x14ac:dyDescent="0.3">
      <c r="A71" s="63"/>
      <c r="B71" s="36"/>
      <c r="C71" s="36"/>
      <c r="D71" s="36"/>
      <c r="E71" s="36"/>
      <c r="F71" s="36"/>
      <c r="G71" s="36"/>
    </row>
    <row r="72" spans="1:15" ht="15.6" customHeight="1" x14ac:dyDescent="0.3">
      <c r="A72" s="105" t="s">
        <v>142</v>
      </c>
      <c r="B72" s="36"/>
      <c r="C72" s="36"/>
      <c r="D72" s="36"/>
      <c r="E72" s="36"/>
      <c r="F72" s="36"/>
      <c r="G72" s="36"/>
    </row>
    <row r="73" spans="1:15" ht="15.6" customHeight="1" x14ac:dyDescent="0.3">
      <c r="A73" s="284" t="s">
        <v>361</v>
      </c>
      <c r="B73" s="36"/>
      <c r="C73" s="36"/>
      <c r="D73" s="36"/>
      <c r="E73" s="36"/>
      <c r="F73" s="36"/>
      <c r="G73" s="36"/>
    </row>
    <row r="74" spans="1:15" ht="15.6" customHeight="1" x14ac:dyDescent="0.3">
      <c r="A74" s="407" t="s">
        <v>138</v>
      </c>
      <c r="B74" s="407"/>
      <c r="C74" s="407"/>
      <c r="D74" s="407"/>
      <c r="E74" s="407"/>
      <c r="F74" s="407"/>
      <c r="G74" s="407"/>
    </row>
    <row r="75" spans="1:15" ht="15.6" customHeight="1" x14ac:dyDescent="0.3">
      <c r="A75" s="403" t="s">
        <v>84</v>
      </c>
      <c r="B75" s="403"/>
      <c r="C75" s="403" t="s">
        <v>68</v>
      </c>
      <c r="D75" s="403"/>
      <c r="E75" s="403"/>
      <c r="F75" s="403"/>
      <c r="G75" s="403"/>
    </row>
    <row r="76" spans="1:15" ht="24" customHeight="1" x14ac:dyDescent="0.3">
      <c r="A76" s="403"/>
      <c r="B76" s="403"/>
      <c r="C76" s="113" t="s">
        <v>65</v>
      </c>
      <c r="D76" s="113" t="s">
        <v>66</v>
      </c>
      <c r="E76" s="113" t="s">
        <v>166</v>
      </c>
      <c r="F76" s="111" t="s">
        <v>163</v>
      </c>
      <c r="G76" s="113" t="s">
        <v>88</v>
      </c>
    </row>
    <row r="77" spans="1:15" s="49" customFormat="1" ht="27" customHeight="1" x14ac:dyDescent="0.3">
      <c r="A77" s="396" t="s">
        <v>184</v>
      </c>
      <c r="B77" s="325" t="s">
        <v>137</v>
      </c>
      <c r="C77" s="404" t="s">
        <v>67</v>
      </c>
      <c r="D77" s="50">
        <v>2000</v>
      </c>
      <c r="E77" s="48">
        <f>Fusion!E31</f>
        <v>7450</v>
      </c>
      <c r="F77" s="48">
        <f>F13+E77</f>
        <v>33090</v>
      </c>
      <c r="G77" s="48">
        <f>G13+E77</f>
        <v>27962</v>
      </c>
      <c r="J77"/>
      <c r="K77"/>
      <c r="L77"/>
      <c r="M77"/>
      <c r="N77"/>
      <c r="O77"/>
    </row>
    <row r="78" spans="1:15" ht="25.5" customHeight="1" outlineLevel="1" x14ac:dyDescent="0.3">
      <c r="A78" s="396"/>
      <c r="B78" s="402" t="s">
        <v>85</v>
      </c>
      <c r="C78" s="404"/>
      <c r="D78" s="328">
        <v>2100</v>
      </c>
      <c r="E78" s="46">
        <f>Fusion!E32</f>
        <v>8200</v>
      </c>
      <c r="F78" s="46">
        <f t="shared" ref="F78:F86" si="17">F14+E78</f>
        <v>36450</v>
      </c>
      <c r="G78" s="46">
        <f t="shared" ref="G78:G86" si="18">G14+E78</f>
        <v>30800</v>
      </c>
    </row>
    <row r="79" spans="1:15" ht="25.5" customHeight="1" outlineLevel="1" x14ac:dyDescent="0.3">
      <c r="A79" s="396"/>
      <c r="B79" s="402"/>
      <c r="C79" s="404"/>
      <c r="D79" s="328">
        <v>2200</v>
      </c>
      <c r="E79" s="46">
        <f>Fusion!E33</f>
        <v>8200</v>
      </c>
      <c r="F79" s="46">
        <f t="shared" si="17"/>
        <v>39000</v>
      </c>
      <c r="G79" s="46">
        <f t="shared" si="18"/>
        <v>32840</v>
      </c>
    </row>
    <row r="80" spans="1:15" ht="25.5" customHeight="1" outlineLevel="1" x14ac:dyDescent="0.3">
      <c r="A80" s="396"/>
      <c r="B80" s="325" t="s">
        <v>86</v>
      </c>
      <c r="C80" s="404"/>
      <c r="D80" s="328">
        <v>2300</v>
      </c>
      <c r="E80" s="46">
        <f>Fusion!E34</f>
        <v>9100</v>
      </c>
      <c r="F80" s="46">
        <f t="shared" si="17"/>
        <v>42450</v>
      </c>
      <c r="G80" s="46">
        <f t="shared" si="18"/>
        <v>35780</v>
      </c>
    </row>
    <row r="81" spans="1:15" ht="25.5" customHeight="1" outlineLevel="1" x14ac:dyDescent="0.3">
      <c r="A81" s="396"/>
      <c r="B81" s="325" t="s">
        <v>395</v>
      </c>
      <c r="C81" s="404"/>
      <c r="D81" s="328">
        <v>2400</v>
      </c>
      <c r="E81" s="46">
        <f>Fusion!E35</f>
        <v>9700</v>
      </c>
      <c r="F81" s="46">
        <f t="shared" si="17"/>
        <v>45600</v>
      </c>
      <c r="G81" s="46">
        <f t="shared" si="18"/>
        <v>38420</v>
      </c>
    </row>
    <row r="82" spans="1:15" s="49" customFormat="1" ht="27" customHeight="1" x14ac:dyDescent="0.3">
      <c r="A82" s="396"/>
      <c r="B82" s="325" t="s">
        <v>137</v>
      </c>
      <c r="C82" s="404">
        <v>900</v>
      </c>
      <c r="D82" s="50">
        <v>2000</v>
      </c>
      <c r="E82" s="48">
        <f>Fusion!E36</f>
        <v>7450</v>
      </c>
      <c r="F82" s="48">
        <f t="shared" si="17"/>
        <v>35700</v>
      </c>
      <c r="G82" s="48">
        <f t="shared" si="18"/>
        <v>30050</v>
      </c>
      <c r="J82"/>
      <c r="K82"/>
      <c r="L82"/>
      <c r="M82"/>
      <c r="N82"/>
      <c r="O82"/>
    </row>
    <row r="83" spans="1:15" ht="25.5" customHeight="1" outlineLevel="1" x14ac:dyDescent="0.3">
      <c r="A83" s="396"/>
      <c r="B83" s="402" t="s">
        <v>85</v>
      </c>
      <c r="C83" s="404"/>
      <c r="D83" s="328">
        <v>2100</v>
      </c>
      <c r="E83" s="46">
        <f>Fusion!E37</f>
        <v>8200</v>
      </c>
      <c r="F83" s="46">
        <f t="shared" si="17"/>
        <v>39300</v>
      </c>
      <c r="G83" s="46">
        <f t="shared" si="18"/>
        <v>33080</v>
      </c>
    </row>
    <row r="84" spans="1:15" ht="25.5" customHeight="1" outlineLevel="1" x14ac:dyDescent="0.3">
      <c r="A84" s="396"/>
      <c r="B84" s="402"/>
      <c r="C84" s="404"/>
      <c r="D84" s="328">
        <v>2200</v>
      </c>
      <c r="E84" s="46">
        <f>Fusion!E38</f>
        <v>8200</v>
      </c>
      <c r="F84" s="46">
        <f t="shared" si="17"/>
        <v>42100</v>
      </c>
      <c r="G84" s="46">
        <f t="shared" si="18"/>
        <v>35320</v>
      </c>
    </row>
    <row r="85" spans="1:15" ht="25.5" customHeight="1" outlineLevel="1" x14ac:dyDescent="0.3">
      <c r="A85" s="396"/>
      <c r="B85" s="325" t="s">
        <v>86</v>
      </c>
      <c r="C85" s="404"/>
      <c r="D85" s="328">
        <v>2300</v>
      </c>
      <c r="E85" s="46">
        <f>Fusion!E39</f>
        <v>9100</v>
      </c>
      <c r="F85" s="46">
        <f t="shared" si="17"/>
        <v>45850</v>
      </c>
      <c r="G85" s="46">
        <f t="shared" si="18"/>
        <v>38500</v>
      </c>
    </row>
    <row r="86" spans="1:15" ht="25.5" customHeight="1" outlineLevel="1" x14ac:dyDescent="0.3">
      <c r="A86" s="396"/>
      <c r="B86" s="325" t="str">
        <f>B81</f>
        <v>Короб L (В=2700) 
Наличник L 75/10 (В=2700)</v>
      </c>
      <c r="C86" s="404"/>
      <c r="D86" s="328">
        <v>2400</v>
      </c>
      <c r="E86" s="46">
        <f>Fusion!E40</f>
        <v>9700</v>
      </c>
      <c r="F86" s="46">
        <f t="shared" si="17"/>
        <v>49250</v>
      </c>
      <c r="G86" s="46">
        <f t="shared" si="18"/>
        <v>41340</v>
      </c>
    </row>
    <row r="87" spans="1:15" x14ac:dyDescent="0.3">
      <c r="A87" s="412"/>
      <c r="B87" s="412"/>
      <c r="C87" s="37"/>
      <c r="D87" s="54"/>
      <c r="E87" s="457"/>
      <c r="F87" s="457"/>
      <c r="G87" s="457"/>
    </row>
    <row r="88" spans="1:15" ht="15.6" customHeight="1" x14ac:dyDescent="0.3">
      <c r="A88" s="407" t="s">
        <v>164</v>
      </c>
      <c r="B88" s="407"/>
      <c r="C88" s="407"/>
      <c r="D88" s="407"/>
      <c r="E88" s="407"/>
      <c r="F88" s="407"/>
      <c r="G88" s="407"/>
    </row>
    <row r="89" spans="1:15" ht="15.6" customHeight="1" x14ac:dyDescent="0.3">
      <c r="A89" s="403" t="s">
        <v>165</v>
      </c>
      <c r="B89" s="403"/>
      <c r="C89" s="403" t="s">
        <v>68</v>
      </c>
      <c r="D89" s="403"/>
      <c r="E89" s="403"/>
      <c r="F89" s="403"/>
      <c r="G89" s="403"/>
    </row>
    <row r="90" spans="1:15" ht="24" customHeight="1" x14ac:dyDescent="0.3">
      <c r="A90" s="403"/>
      <c r="B90" s="403"/>
      <c r="C90" s="113" t="s">
        <v>65</v>
      </c>
      <c r="D90" s="113" t="s">
        <v>66</v>
      </c>
      <c r="E90" s="113" t="s">
        <v>166</v>
      </c>
      <c r="F90" s="111" t="s">
        <v>87</v>
      </c>
      <c r="G90" s="113" t="s">
        <v>88</v>
      </c>
    </row>
    <row r="91" spans="1:15" s="49" customFormat="1" ht="27" customHeight="1" x14ac:dyDescent="0.3">
      <c r="A91" s="396" t="s">
        <v>184</v>
      </c>
      <c r="B91" s="325" t="s">
        <v>137</v>
      </c>
      <c r="C91" s="404" t="s">
        <v>67</v>
      </c>
      <c r="D91" s="50">
        <v>2000</v>
      </c>
      <c r="E91" s="48">
        <f>Fusion!E45</f>
        <v>9800</v>
      </c>
      <c r="F91" s="48">
        <f>F13+E91</f>
        <v>35440</v>
      </c>
      <c r="G91" s="48">
        <f>G13+E91</f>
        <v>30312</v>
      </c>
      <c r="J91"/>
      <c r="K91"/>
      <c r="L91"/>
      <c r="M91"/>
      <c r="N91"/>
      <c r="O91"/>
    </row>
    <row r="92" spans="1:15" ht="25.5" customHeight="1" outlineLevel="1" x14ac:dyDescent="0.3">
      <c r="A92" s="396"/>
      <c r="B92" s="402" t="s">
        <v>85</v>
      </c>
      <c r="C92" s="404"/>
      <c r="D92" s="328">
        <v>2100</v>
      </c>
      <c r="E92" s="46">
        <f>Fusion!E46</f>
        <v>10800</v>
      </c>
      <c r="F92" s="46">
        <f t="shared" ref="F92:F100" si="19">F14+E92</f>
        <v>39050</v>
      </c>
      <c r="G92" s="46">
        <f t="shared" ref="G92:G100" si="20">G14+E92</f>
        <v>33400</v>
      </c>
    </row>
    <row r="93" spans="1:15" ht="25.5" customHeight="1" outlineLevel="1" x14ac:dyDescent="0.3">
      <c r="A93" s="396"/>
      <c r="B93" s="402"/>
      <c r="C93" s="404"/>
      <c r="D93" s="328">
        <v>2200</v>
      </c>
      <c r="E93" s="46">
        <f>Fusion!E47</f>
        <v>10800</v>
      </c>
      <c r="F93" s="46">
        <f t="shared" si="19"/>
        <v>41600</v>
      </c>
      <c r="G93" s="46">
        <f t="shared" si="20"/>
        <v>35440</v>
      </c>
    </row>
    <row r="94" spans="1:15" ht="25.5" customHeight="1" outlineLevel="1" x14ac:dyDescent="0.3">
      <c r="A94" s="396"/>
      <c r="B94" s="325" t="s">
        <v>86</v>
      </c>
      <c r="C94" s="404"/>
      <c r="D94" s="328">
        <v>2300</v>
      </c>
      <c r="E94" s="46">
        <f>Fusion!E48</f>
        <v>11700</v>
      </c>
      <c r="F94" s="46">
        <f t="shared" si="19"/>
        <v>45050</v>
      </c>
      <c r="G94" s="46">
        <f t="shared" si="20"/>
        <v>38380</v>
      </c>
    </row>
    <row r="95" spans="1:15" ht="25.5" customHeight="1" outlineLevel="1" x14ac:dyDescent="0.3">
      <c r="A95" s="396"/>
      <c r="B95" s="325"/>
      <c r="C95" s="404"/>
      <c r="D95" s="328">
        <v>2400</v>
      </c>
      <c r="E95" s="46">
        <f>Fusion!E49</f>
        <v>12775</v>
      </c>
      <c r="F95" s="46">
        <f t="shared" si="19"/>
        <v>48675</v>
      </c>
      <c r="G95" s="46">
        <f t="shared" si="20"/>
        <v>41495</v>
      </c>
    </row>
    <row r="96" spans="1:15" s="49" customFormat="1" ht="27" customHeight="1" x14ac:dyDescent="0.3">
      <c r="A96" s="396"/>
      <c r="B96" s="325" t="s">
        <v>137</v>
      </c>
      <c r="C96" s="404">
        <v>900</v>
      </c>
      <c r="D96" s="50">
        <v>2000</v>
      </c>
      <c r="E96" s="48">
        <f>Fusion!E50</f>
        <v>9800</v>
      </c>
      <c r="F96" s="48">
        <f t="shared" si="19"/>
        <v>38050</v>
      </c>
      <c r="G96" s="48">
        <f t="shared" si="20"/>
        <v>32400</v>
      </c>
      <c r="J96"/>
      <c r="K96"/>
      <c r="L96"/>
      <c r="M96"/>
      <c r="N96"/>
      <c r="O96"/>
    </row>
    <row r="97" spans="1:15" ht="25.5" customHeight="1" outlineLevel="1" x14ac:dyDescent="0.3">
      <c r="A97" s="396"/>
      <c r="B97" s="402" t="s">
        <v>85</v>
      </c>
      <c r="C97" s="404"/>
      <c r="D97" s="328">
        <v>2100</v>
      </c>
      <c r="E97" s="46">
        <f>Fusion!E51</f>
        <v>10800</v>
      </c>
      <c r="F97" s="46">
        <f t="shared" si="19"/>
        <v>41900</v>
      </c>
      <c r="G97" s="46">
        <f t="shared" si="20"/>
        <v>35680</v>
      </c>
    </row>
    <row r="98" spans="1:15" ht="25.5" customHeight="1" outlineLevel="1" x14ac:dyDescent="0.3">
      <c r="A98" s="396"/>
      <c r="B98" s="402"/>
      <c r="C98" s="404"/>
      <c r="D98" s="328">
        <v>2200</v>
      </c>
      <c r="E98" s="46">
        <f>Fusion!E52</f>
        <v>10800</v>
      </c>
      <c r="F98" s="46">
        <f t="shared" si="19"/>
        <v>44700</v>
      </c>
      <c r="G98" s="46">
        <f t="shared" si="20"/>
        <v>37920</v>
      </c>
    </row>
    <row r="99" spans="1:15" ht="25.5" customHeight="1" outlineLevel="1" x14ac:dyDescent="0.3">
      <c r="A99" s="396"/>
      <c r="B99" s="325" t="s">
        <v>86</v>
      </c>
      <c r="C99" s="404"/>
      <c r="D99" s="328">
        <v>2300</v>
      </c>
      <c r="E99" s="46">
        <f>Fusion!E53</f>
        <v>11700</v>
      </c>
      <c r="F99" s="46">
        <f t="shared" si="19"/>
        <v>48450</v>
      </c>
      <c r="G99" s="46">
        <f t="shared" si="20"/>
        <v>41100</v>
      </c>
    </row>
    <row r="100" spans="1:15" ht="25.5" customHeight="1" outlineLevel="1" x14ac:dyDescent="0.3">
      <c r="A100" s="396"/>
      <c r="B100" s="325"/>
      <c r="C100" s="404"/>
      <c r="D100" s="328">
        <v>2400</v>
      </c>
      <c r="E100" s="46">
        <f>Fusion!E54</f>
        <v>12775</v>
      </c>
      <c r="F100" s="46">
        <f t="shared" si="19"/>
        <v>52325</v>
      </c>
      <c r="G100" s="46">
        <f t="shared" si="20"/>
        <v>44415</v>
      </c>
    </row>
    <row r="101" spans="1:15" ht="12.75" customHeight="1" x14ac:dyDescent="0.3">
      <c r="A101" s="41"/>
      <c r="B101" s="41"/>
      <c r="C101" s="41"/>
      <c r="D101" s="41"/>
      <c r="E101" s="41"/>
      <c r="F101" s="41"/>
      <c r="G101" s="41"/>
    </row>
    <row r="102" spans="1:15" ht="15.6" customHeight="1" x14ac:dyDescent="0.3">
      <c r="A102" s="407" t="s">
        <v>174</v>
      </c>
      <c r="B102" s="407"/>
      <c r="C102" s="407"/>
      <c r="D102" s="407"/>
      <c r="E102" s="407"/>
      <c r="F102" s="407"/>
      <c r="G102" s="407"/>
    </row>
    <row r="103" spans="1:15" ht="15.6" customHeight="1" x14ac:dyDescent="0.3">
      <c r="A103" s="403" t="s">
        <v>367</v>
      </c>
      <c r="B103" s="403"/>
      <c r="C103" s="403" t="s">
        <v>68</v>
      </c>
      <c r="D103" s="403"/>
      <c r="E103" s="403"/>
      <c r="F103" s="403"/>
      <c r="G103" s="403"/>
    </row>
    <row r="104" spans="1:15" ht="24" customHeight="1" x14ac:dyDescent="0.3">
      <c r="A104" s="403"/>
      <c r="B104" s="403"/>
      <c r="C104" s="113" t="s">
        <v>65</v>
      </c>
      <c r="D104" s="113" t="s">
        <v>66</v>
      </c>
      <c r="E104" s="113" t="s">
        <v>166</v>
      </c>
      <c r="F104" s="111" t="s">
        <v>163</v>
      </c>
      <c r="G104" s="113" t="s">
        <v>88</v>
      </c>
    </row>
    <row r="105" spans="1:15" s="49" customFormat="1" ht="27" customHeight="1" x14ac:dyDescent="0.3">
      <c r="A105" s="396" t="s">
        <v>184</v>
      </c>
      <c r="B105" s="325" t="s">
        <v>365</v>
      </c>
      <c r="C105" s="404" t="s">
        <v>67</v>
      </c>
      <c r="D105" s="50">
        <v>2000</v>
      </c>
      <c r="E105" s="48">
        <f>'Porte39-00'!E79</f>
        <v>13850</v>
      </c>
      <c r="F105" s="48">
        <f>F13+E105+F118+$F$123</f>
        <v>48010</v>
      </c>
      <c r="G105" s="48">
        <f>G13+E105+F118++$F$123</f>
        <v>42882</v>
      </c>
      <c r="J105"/>
      <c r="K105"/>
      <c r="L105"/>
      <c r="M105"/>
      <c r="N105"/>
      <c r="O105"/>
    </row>
    <row r="106" spans="1:15" ht="25.5" customHeight="1" outlineLevel="1" x14ac:dyDescent="0.3">
      <c r="A106" s="396"/>
      <c r="B106" s="402" t="s">
        <v>365</v>
      </c>
      <c r="C106" s="404"/>
      <c r="D106" s="328">
        <v>2100</v>
      </c>
      <c r="E106" s="46">
        <f>'Porte39-00'!E80</f>
        <v>13850</v>
      </c>
      <c r="F106" s="46">
        <f t="shared" ref="F106:F109" si="21">F14+E106+F119+$F$123</f>
        <v>50620</v>
      </c>
      <c r="G106" s="46">
        <f t="shared" ref="G106:G109" si="22">G14+E106+F119++$F$123</f>
        <v>44970</v>
      </c>
    </row>
    <row r="107" spans="1:15" ht="25.5" customHeight="1" outlineLevel="1" x14ac:dyDescent="0.3">
      <c r="A107" s="396"/>
      <c r="B107" s="402"/>
      <c r="C107" s="404"/>
      <c r="D107" s="328">
        <v>2200</v>
      </c>
      <c r="E107" s="46">
        <f>'Porte39-00'!E81</f>
        <v>15125</v>
      </c>
      <c r="F107" s="46">
        <f t="shared" si="21"/>
        <v>54445</v>
      </c>
      <c r="G107" s="46">
        <f t="shared" si="22"/>
        <v>48285</v>
      </c>
    </row>
    <row r="108" spans="1:15" ht="25.5" customHeight="1" outlineLevel="1" x14ac:dyDescent="0.3">
      <c r="A108" s="396"/>
      <c r="B108" s="325" t="s">
        <v>365</v>
      </c>
      <c r="C108" s="404"/>
      <c r="D108" s="328">
        <v>2300</v>
      </c>
      <c r="E108" s="46">
        <f>'Porte39-00'!E82</f>
        <v>15125</v>
      </c>
      <c r="F108" s="46">
        <f t="shared" si="21"/>
        <v>60415</v>
      </c>
      <c r="G108" s="46">
        <f t="shared" si="22"/>
        <v>53745</v>
      </c>
    </row>
    <row r="109" spans="1:15" ht="25.5" customHeight="1" outlineLevel="1" x14ac:dyDescent="0.3">
      <c r="A109" s="396"/>
      <c r="B109" s="325" t="s">
        <v>365</v>
      </c>
      <c r="C109" s="404"/>
      <c r="D109" s="328">
        <v>2400</v>
      </c>
      <c r="E109" s="46">
        <f>'Porte39-00'!E83</f>
        <v>17753</v>
      </c>
      <c r="F109" s="46">
        <f t="shared" si="21"/>
        <v>65593</v>
      </c>
      <c r="G109" s="46">
        <f t="shared" si="22"/>
        <v>58413</v>
      </c>
    </row>
    <row r="110" spans="1:15" s="49" customFormat="1" ht="27" customHeight="1" x14ac:dyDescent="0.3">
      <c r="A110" s="396"/>
      <c r="B110" s="325" t="s">
        <v>365</v>
      </c>
      <c r="C110" s="404">
        <v>900</v>
      </c>
      <c r="D110" s="50">
        <v>2000</v>
      </c>
      <c r="E110" s="48">
        <f>E105</f>
        <v>13850</v>
      </c>
      <c r="F110" s="48">
        <f>F18+E110+F118+$F$123</f>
        <v>50620</v>
      </c>
      <c r="G110" s="48">
        <f>G18+E110+F118+$F$123</f>
        <v>44970</v>
      </c>
      <c r="J110"/>
      <c r="K110"/>
      <c r="L110"/>
      <c r="M110"/>
      <c r="N110"/>
      <c r="O110"/>
    </row>
    <row r="111" spans="1:15" ht="25.5" customHeight="1" outlineLevel="1" x14ac:dyDescent="0.3">
      <c r="A111" s="396"/>
      <c r="B111" s="402" t="s">
        <v>365</v>
      </c>
      <c r="C111" s="404"/>
      <c r="D111" s="328">
        <v>2100</v>
      </c>
      <c r="E111" s="46">
        <f>E106</f>
        <v>13850</v>
      </c>
      <c r="F111" s="46">
        <f t="shared" ref="F111:F114" si="23">F19+E111+F119+$F$123</f>
        <v>53470</v>
      </c>
      <c r="G111" s="46">
        <f t="shared" ref="G111:G114" si="24">G19+E111+F119+$F$123</f>
        <v>47250</v>
      </c>
    </row>
    <row r="112" spans="1:15" ht="25.5" customHeight="1" outlineLevel="1" x14ac:dyDescent="0.3">
      <c r="A112" s="396"/>
      <c r="B112" s="402"/>
      <c r="C112" s="404"/>
      <c r="D112" s="328">
        <v>2200</v>
      </c>
      <c r="E112" s="46">
        <f t="shared" ref="E112:E113" si="25">E107</f>
        <v>15125</v>
      </c>
      <c r="F112" s="46">
        <f t="shared" si="23"/>
        <v>57545</v>
      </c>
      <c r="G112" s="46">
        <f t="shared" si="24"/>
        <v>50765</v>
      </c>
    </row>
    <row r="113" spans="1:10" ht="25.5" customHeight="1" outlineLevel="1" x14ac:dyDescent="0.3">
      <c r="A113" s="396"/>
      <c r="B113" s="325" t="s">
        <v>365</v>
      </c>
      <c r="C113" s="404"/>
      <c r="D113" s="328">
        <v>2300</v>
      </c>
      <c r="E113" s="46">
        <f t="shared" si="25"/>
        <v>15125</v>
      </c>
      <c r="F113" s="46">
        <f t="shared" si="23"/>
        <v>63815</v>
      </c>
      <c r="G113" s="46">
        <f t="shared" si="24"/>
        <v>56465</v>
      </c>
    </row>
    <row r="114" spans="1:10" ht="25.5" customHeight="1" outlineLevel="1" x14ac:dyDescent="0.3">
      <c r="A114" s="396"/>
      <c r="B114" s="325" t="s">
        <v>365</v>
      </c>
      <c r="C114" s="404"/>
      <c r="D114" s="328">
        <v>2400</v>
      </c>
      <c r="E114" s="46">
        <f>E109</f>
        <v>17753</v>
      </c>
      <c r="F114" s="46">
        <f t="shared" si="23"/>
        <v>69243</v>
      </c>
      <c r="G114" s="46">
        <f t="shared" si="24"/>
        <v>61333</v>
      </c>
    </row>
    <row r="115" spans="1:10" x14ac:dyDescent="0.3">
      <c r="A115" s="412"/>
      <c r="B115" s="412"/>
      <c r="C115" s="37"/>
      <c r="D115" s="54"/>
      <c r="E115" s="54"/>
      <c r="F115" s="54"/>
      <c r="G115" s="54"/>
    </row>
    <row r="116" spans="1:10" x14ac:dyDescent="0.3">
      <c r="A116" s="109" t="s">
        <v>382</v>
      </c>
      <c r="B116" s="53"/>
      <c r="C116" s="37"/>
      <c r="D116" s="54"/>
      <c r="E116" s="54"/>
      <c r="F116" s="54"/>
      <c r="G116" s="54"/>
      <c r="H116" s="54"/>
      <c r="I116" s="54"/>
      <c r="J116" s="54"/>
    </row>
    <row r="117" spans="1:10" ht="34.5" customHeight="1" x14ac:dyDescent="0.3">
      <c r="A117" s="417" t="s">
        <v>169</v>
      </c>
      <c r="B117" s="418"/>
      <c r="C117" s="113" t="s">
        <v>173</v>
      </c>
      <c r="D117" s="113" t="s">
        <v>66</v>
      </c>
      <c r="E117" s="113" t="s">
        <v>172</v>
      </c>
      <c r="F117" s="113" t="s">
        <v>108</v>
      </c>
      <c r="G117" s="54"/>
    </row>
    <row r="118" spans="1:10" x14ac:dyDescent="0.3">
      <c r="A118" s="422" t="s">
        <v>168</v>
      </c>
      <c r="B118" s="422" t="s">
        <v>167</v>
      </c>
      <c r="C118" s="425">
        <v>3420</v>
      </c>
      <c r="D118" s="50">
        <v>2000</v>
      </c>
      <c r="E118" s="128">
        <v>2</v>
      </c>
      <c r="F118" s="48">
        <f>$C$118*E118</f>
        <v>6840</v>
      </c>
      <c r="G118" s="54"/>
    </row>
    <row r="119" spans="1:10" x14ac:dyDescent="0.3">
      <c r="A119" s="423"/>
      <c r="B119" s="423"/>
      <c r="C119" s="426"/>
      <c r="D119" s="45">
        <v>2100</v>
      </c>
      <c r="E119" s="128">
        <v>2</v>
      </c>
      <c r="F119" s="46">
        <f t="shared" ref="F119:F122" si="26">$C$118*E119</f>
        <v>6840</v>
      </c>
      <c r="G119" s="54"/>
    </row>
    <row r="120" spans="1:10" x14ac:dyDescent="0.3">
      <c r="A120" s="423"/>
      <c r="B120" s="423"/>
      <c r="C120" s="426"/>
      <c r="D120" s="45">
        <v>2200</v>
      </c>
      <c r="E120" s="128">
        <v>2</v>
      </c>
      <c r="F120" s="46">
        <f t="shared" si="26"/>
        <v>6840</v>
      </c>
      <c r="G120" s="54"/>
    </row>
    <row r="121" spans="1:10" x14ac:dyDescent="0.3">
      <c r="A121" s="423"/>
      <c r="B121" s="423"/>
      <c r="C121" s="426"/>
      <c r="D121" s="45">
        <v>2300</v>
      </c>
      <c r="E121" s="128">
        <v>3</v>
      </c>
      <c r="F121" s="46">
        <f t="shared" si="26"/>
        <v>10260</v>
      </c>
      <c r="G121" s="54"/>
    </row>
    <row r="122" spans="1:10" x14ac:dyDescent="0.3">
      <c r="A122" s="424"/>
      <c r="B122" s="424"/>
      <c r="C122" s="427"/>
      <c r="D122" s="328">
        <v>2400</v>
      </c>
      <c r="E122" s="128">
        <v>3</v>
      </c>
      <c r="F122" s="46">
        <f t="shared" si="26"/>
        <v>10260</v>
      </c>
      <c r="G122" s="327"/>
    </row>
    <row r="123" spans="1:10" ht="27.75" customHeight="1" x14ac:dyDescent="0.3">
      <c r="A123" s="129" t="s">
        <v>170</v>
      </c>
      <c r="B123" s="130" t="s">
        <v>171</v>
      </c>
      <c r="C123" s="131">
        <v>1680</v>
      </c>
      <c r="D123" s="132"/>
      <c r="E123" s="132">
        <v>1</v>
      </c>
      <c r="F123" s="48">
        <f>$C$123*E123</f>
        <v>1680</v>
      </c>
      <c r="G123" s="54"/>
    </row>
    <row r="174" spans="1:7" ht="15" customHeight="1" x14ac:dyDescent="0.3"/>
    <row r="175" spans="1:7" x14ac:dyDescent="0.3">
      <c r="A175" s="39"/>
      <c r="B175" s="39"/>
    </row>
    <row r="176" spans="1:7" x14ac:dyDescent="0.3">
      <c r="B176" s="39"/>
      <c r="C176" s="40"/>
      <c r="D176" s="40"/>
      <c r="E176" s="40"/>
      <c r="F176" s="40"/>
      <c r="G176" s="40"/>
    </row>
    <row r="177" spans="1:2" x14ac:dyDescent="0.3">
      <c r="A177" s="39"/>
      <c r="B177" s="39"/>
    </row>
    <row r="178" spans="1:2" x14ac:dyDescent="0.3">
      <c r="A178" s="39"/>
      <c r="B178" s="39"/>
    </row>
    <row r="179" spans="1:2" x14ac:dyDescent="0.3">
      <c r="A179" s="39"/>
      <c r="B179" s="39"/>
    </row>
    <row r="180" spans="1:2" x14ac:dyDescent="0.3">
      <c r="A180" s="39"/>
      <c r="B180" s="39"/>
    </row>
    <row r="181" spans="1:2" x14ac:dyDescent="0.3">
      <c r="A181" s="39"/>
      <c r="B181" s="39"/>
    </row>
    <row r="182" spans="1:2" x14ac:dyDescent="0.3">
      <c r="A182" s="39"/>
      <c r="B182" s="39"/>
    </row>
    <row r="183" spans="1:2" x14ac:dyDescent="0.3">
      <c r="A183" s="39"/>
      <c r="B183" s="39"/>
    </row>
    <row r="184" spans="1:2" x14ac:dyDescent="0.3">
      <c r="A184" s="39"/>
      <c r="B184" s="39"/>
    </row>
    <row r="185" spans="1:2" x14ac:dyDescent="0.3">
      <c r="A185" s="39"/>
      <c r="B185" s="39"/>
    </row>
    <row r="186" spans="1:2" x14ac:dyDescent="0.3">
      <c r="A186" s="39"/>
      <c r="B186" s="39"/>
    </row>
    <row r="187" spans="1:2" x14ac:dyDescent="0.3">
      <c r="A187" s="39"/>
      <c r="B187" s="39"/>
    </row>
    <row r="188" spans="1:2" x14ac:dyDescent="0.3">
      <c r="A188" s="39"/>
      <c r="B188" s="39"/>
    </row>
    <row r="189" spans="1:2" x14ac:dyDescent="0.3">
      <c r="A189" s="39"/>
      <c r="B189" s="39"/>
    </row>
    <row r="190" spans="1:2" x14ac:dyDescent="0.3">
      <c r="A190" s="39"/>
      <c r="B190" s="39"/>
    </row>
    <row r="191" spans="1:2" x14ac:dyDescent="0.3">
      <c r="A191" s="39"/>
      <c r="B191" s="39"/>
    </row>
    <row r="192" spans="1:2" x14ac:dyDescent="0.3">
      <c r="A192" s="39"/>
      <c r="B192" s="39"/>
    </row>
    <row r="193" spans="1:2" x14ac:dyDescent="0.3">
      <c r="A193" s="39"/>
      <c r="B193" s="39"/>
    </row>
    <row r="194" spans="1:2" x14ac:dyDescent="0.3">
      <c r="A194" s="39"/>
      <c r="B194" s="39"/>
    </row>
    <row r="195" spans="1:2" x14ac:dyDescent="0.3">
      <c r="A195" s="39"/>
      <c r="B195" s="39"/>
    </row>
    <row r="196" spans="1:2" x14ac:dyDescent="0.3">
      <c r="A196" s="39"/>
      <c r="B196" s="39"/>
    </row>
    <row r="197" spans="1:2" x14ac:dyDescent="0.3">
      <c r="A197" s="39"/>
      <c r="B197" s="39"/>
    </row>
    <row r="198" spans="1:2" x14ac:dyDescent="0.3">
      <c r="A198" s="39"/>
      <c r="B198" s="39"/>
    </row>
  </sheetData>
  <mergeCells count="57">
    <mergeCell ref="A3:G3"/>
    <mergeCell ref="A4:G4"/>
    <mergeCell ref="A10:G10"/>
    <mergeCell ref="A11:B12"/>
    <mergeCell ref="C11:F11"/>
    <mergeCell ref="A26:G26"/>
    <mergeCell ref="A27:B28"/>
    <mergeCell ref="D27:G27"/>
    <mergeCell ref="C18:C22"/>
    <mergeCell ref="A13:B22"/>
    <mergeCell ref="C13:C17"/>
    <mergeCell ref="A29:B33"/>
    <mergeCell ref="A35:G35"/>
    <mergeCell ref="A36:B37"/>
    <mergeCell ref="C36:G36"/>
    <mergeCell ref="C43:C47"/>
    <mergeCell ref="C38:C42"/>
    <mergeCell ref="A38:B47"/>
    <mergeCell ref="C48:G48"/>
    <mergeCell ref="C59:G59"/>
    <mergeCell ref="A61:B70"/>
    <mergeCell ref="C66:C70"/>
    <mergeCell ref="C61:C65"/>
    <mergeCell ref="A49:B58"/>
    <mergeCell ref="C54:C58"/>
    <mergeCell ref="C49:C53"/>
    <mergeCell ref="A74:G74"/>
    <mergeCell ref="A75:B76"/>
    <mergeCell ref="C75:G75"/>
    <mergeCell ref="B78:B79"/>
    <mergeCell ref="B83:B84"/>
    <mergeCell ref="C82:C86"/>
    <mergeCell ref="C77:C81"/>
    <mergeCell ref="A77:A86"/>
    <mergeCell ref="B92:B93"/>
    <mergeCell ref="B97:B98"/>
    <mergeCell ref="C96:C100"/>
    <mergeCell ref="C91:C95"/>
    <mergeCell ref="A91:A100"/>
    <mergeCell ref="A87:B87"/>
    <mergeCell ref="E87:G87"/>
    <mergeCell ref="A88:G88"/>
    <mergeCell ref="A89:B90"/>
    <mergeCell ref="C89:G89"/>
    <mergeCell ref="A102:G102"/>
    <mergeCell ref="A103:B104"/>
    <mergeCell ref="C103:G103"/>
    <mergeCell ref="B106:B107"/>
    <mergeCell ref="B111:B112"/>
    <mergeCell ref="A105:A114"/>
    <mergeCell ref="C110:C114"/>
    <mergeCell ref="C105:C109"/>
    <mergeCell ref="A115:B115"/>
    <mergeCell ref="A117:B117"/>
    <mergeCell ref="A118:A122"/>
    <mergeCell ref="B118:B122"/>
    <mergeCell ref="C118:C122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66" max="6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"/>
  <sheetViews>
    <sheetView view="pageBreakPreview" zoomScale="106" zoomScaleNormal="100" zoomScaleSheetLayoutView="106" workbookViewId="0">
      <selection activeCell="F18" sqref="F18"/>
    </sheetView>
  </sheetViews>
  <sheetFormatPr defaultRowHeight="14.4" x14ac:dyDescent="0.3"/>
  <cols>
    <col min="1" max="1" width="16.6640625" customWidth="1"/>
    <col min="2" max="2" width="16.6640625" style="1" hidden="1" customWidth="1"/>
    <col min="3" max="3" width="11.109375" style="1" customWidth="1"/>
    <col min="4" max="8" width="11.109375" customWidth="1"/>
    <col min="9" max="22" width="0" hidden="1" customWidth="1"/>
  </cols>
  <sheetData>
    <row r="1" spans="1:22" s="58" customFormat="1" ht="18.75" customHeight="1" x14ac:dyDescent="0.3">
      <c r="A1" s="91"/>
      <c r="B1" s="57"/>
      <c r="D1" s="41"/>
      <c r="E1" s="41"/>
      <c r="F1" s="41"/>
      <c r="G1" s="214" t="str">
        <f>СОДЕРЖАНИЕ!I2</f>
        <v>Прайс-лист на изделия из ПВХ от 02.12.2024</v>
      </c>
    </row>
    <row r="2" spans="1:22" ht="24.75" customHeight="1" x14ac:dyDescent="0.3">
      <c r="A2" s="57"/>
      <c r="B2" s="41"/>
      <c r="C2" s="41"/>
      <c r="D2" s="41"/>
      <c r="E2" s="41"/>
      <c r="F2" s="41"/>
      <c r="G2" s="41"/>
      <c r="H2" s="41"/>
    </row>
    <row r="3" spans="1:22" ht="19.5" customHeight="1" x14ac:dyDescent="0.3">
      <c r="A3" s="57"/>
      <c r="B3" s="57"/>
      <c r="C3" s="57"/>
      <c r="D3" s="57"/>
      <c r="E3" s="57"/>
      <c r="F3" s="57"/>
    </row>
    <row r="4" spans="1:22" s="58" customFormat="1" ht="24" customHeight="1" x14ac:dyDescent="0.3">
      <c r="A4" s="463" t="s">
        <v>71</v>
      </c>
      <c r="B4" s="463"/>
      <c r="C4" s="463"/>
      <c r="D4" s="463"/>
      <c r="E4" s="463"/>
      <c r="F4" s="463"/>
    </row>
    <row r="5" spans="1:22" ht="19.5" customHeight="1" x14ac:dyDescent="0.3">
      <c r="A5" s="397" t="s">
        <v>188</v>
      </c>
      <c r="B5" s="397"/>
      <c r="C5" s="397"/>
      <c r="D5" s="397"/>
      <c r="E5" s="397"/>
      <c r="F5" s="397"/>
      <c r="G5" s="397"/>
      <c r="H5" s="397"/>
    </row>
    <row r="6" spans="1:22" ht="19.5" customHeight="1" x14ac:dyDescent="0.3">
      <c r="A6" s="397" t="s">
        <v>191</v>
      </c>
      <c r="B6" s="397"/>
      <c r="C6" s="397"/>
      <c r="D6" s="397"/>
      <c r="E6" s="397"/>
      <c r="F6" s="397"/>
      <c r="G6" s="397"/>
      <c r="H6" s="397"/>
    </row>
    <row r="7" spans="1:22" ht="15.6" customHeight="1" x14ac:dyDescent="0.3">
      <c r="A7" s="407" t="s">
        <v>326</v>
      </c>
      <c r="B7" s="407"/>
      <c r="C7" s="407"/>
      <c r="D7" s="407"/>
      <c r="E7" s="407"/>
      <c r="F7" s="407"/>
      <c r="G7" s="407"/>
      <c r="H7" s="407"/>
      <c r="I7" t="s">
        <v>326</v>
      </c>
      <c r="J7" s="148"/>
      <c r="K7" s="148"/>
      <c r="L7" s="148"/>
      <c r="M7" s="148"/>
      <c r="N7" s="148"/>
      <c r="O7" s="148"/>
      <c r="P7" s="148"/>
      <c r="Q7" s="148"/>
      <c r="R7" s="148"/>
    </row>
    <row r="8" spans="1:22" ht="15.6" customHeight="1" x14ac:dyDescent="0.3">
      <c r="A8" s="374" t="s">
        <v>189</v>
      </c>
      <c r="B8" s="374" t="s">
        <v>327</v>
      </c>
      <c r="C8" s="374"/>
      <c r="D8" s="374"/>
      <c r="E8" s="374"/>
      <c r="F8" s="374"/>
      <c r="G8" s="374"/>
      <c r="H8" s="374"/>
      <c r="I8" t="s">
        <v>189</v>
      </c>
      <c r="J8" s="148" t="s">
        <v>327</v>
      </c>
      <c r="K8" s="148"/>
      <c r="L8" s="148"/>
      <c r="M8" s="148"/>
      <c r="N8" s="148"/>
      <c r="O8" s="148"/>
      <c r="P8" s="148"/>
      <c r="Q8" s="148"/>
      <c r="R8" s="148"/>
    </row>
    <row r="9" spans="1:22" x14ac:dyDescent="0.3">
      <c r="A9" s="374"/>
      <c r="B9" s="245" t="s">
        <v>320</v>
      </c>
      <c r="C9" s="210" t="s">
        <v>300</v>
      </c>
      <c r="D9" s="210" t="s">
        <v>313</v>
      </c>
      <c r="E9" s="210" t="s">
        <v>301</v>
      </c>
      <c r="F9" s="210" t="s">
        <v>302</v>
      </c>
      <c r="G9" s="210" t="s">
        <v>303</v>
      </c>
      <c r="H9" s="210" t="s">
        <v>314</v>
      </c>
      <c r="J9" s="148" t="s">
        <v>320</v>
      </c>
      <c r="K9" s="148" t="s">
        <v>300</v>
      </c>
      <c r="L9" s="148" t="s">
        <v>313</v>
      </c>
      <c r="M9" s="148" t="s">
        <v>301</v>
      </c>
      <c r="N9" s="148" t="s">
        <v>302</v>
      </c>
      <c r="O9" s="148" t="s">
        <v>303</v>
      </c>
      <c r="P9" s="148" t="s">
        <v>314</v>
      </c>
      <c r="Q9" s="148"/>
      <c r="R9" s="148"/>
    </row>
    <row r="10" spans="1:22" s="252" customFormat="1" ht="10.199999999999999" x14ac:dyDescent="0.2">
      <c r="A10" s="249"/>
      <c r="B10" s="249"/>
      <c r="C10" s="250">
        <v>0.35</v>
      </c>
      <c r="D10" s="250">
        <v>0.4</v>
      </c>
      <c r="E10" s="250">
        <v>0.4</v>
      </c>
      <c r="F10" s="250">
        <v>0.55000000000000004</v>
      </c>
      <c r="G10" s="250">
        <v>0.65</v>
      </c>
      <c r="H10" s="250">
        <v>0.85</v>
      </c>
      <c r="I10" s="251"/>
      <c r="K10" s="252">
        <v>0.35</v>
      </c>
      <c r="L10" s="252">
        <v>0.4</v>
      </c>
      <c r="M10" s="252">
        <v>0.4</v>
      </c>
      <c r="N10" s="252">
        <v>0.55000000000000004</v>
      </c>
      <c r="O10" s="252">
        <v>0.65</v>
      </c>
      <c r="P10" s="252">
        <v>0.85</v>
      </c>
    </row>
    <row r="11" spans="1:22" ht="13.5" customHeight="1" x14ac:dyDescent="0.3">
      <c r="A11" s="244" t="s">
        <v>292</v>
      </c>
      <c r="B11" s="246">
        <f>'Porte39-00'!F13</f>
        <v>15280</v>
      </c>
      <c r="C11" s="243">
        <f>CEILING($B$11*C10, 10)</f>
        <v>5350</v>
      </c>
      <c r="D11" s="243">
        <f t="shared" ref="D11:H11" si="0">CEILING($B$11*D10, 10)</f>
        <v>6120</v>
      </c>
      <c r="E11" s="243">
        <f t="shared" si="0"/>
        <v>6120</v>
      </c>
      <c r="F11" s="243">
        <f t="shared" si="0"/>
        <v>8410</v>
      </c>
      <c r="G11" s="243">
        <f t="shared" si="0"/>
        <v>9940</v>
      </c>
      <c r="H11" s="243">
        <f t="shared" si="0"/>
        <v>12990</v>
      </c>
      <c r="I11" t="s">
        <v>292</v>
      </c>
      <c r="J11" s="148">
        <v>13950</v>
      </c>
      <c r="K11" s="148">
        <v>4890</v>
      </c>
      <c r="L11" s="148">
        <v>5580</v>
      </c>
      <c r="M11" s="148">
        <v>5580</v>
      </c>
      <c r="N11" s="148">
        <v>7680</v>
      </c>
      <c r="O11" s="148">
        <v>9070</v>
      </c>
      <c r="P11" s="148">
        <v>11860</v>
      </c>
      <c r="Q11" s="312">
        <f>C11/K11-1</f>
        <v>9.4069529652351713E-2</v>
      </c>
      <c r="R11" s="312">
        <f t="shared" ref="R11:V17" si="1">D11/L11-1</f>
        <v>9.6774193548387011E-2</v>
      </c>
      <c r="S11" s="312">
        <f t="shared" si="1"/>
        <v>9.6774193548387011E-2</v>
      </c>
      <c r="T11" s="312">
        <f t="shared" si="1"/>
        <v>9.5052083333333259E-2</v>
      </c>
      <c r="U11" s="312">
        <f t="shared" si="1"/>
        <v>9.592061742006619E-2</v>
      </c>
      <c r="V11" s="312">
        <f t="shared" si="1"/>
        <v>9.5278246205733552E-2</v>
      </c>
    </row>
    <row r="12" spans="1:22" x14ac:dyDescent="0.3">
      <c r="A12" s="244" t="s">
        <v>318</v>
      </c>
      <c r="B12" s="246">
        <f>Fusion!F13</f>
        <v>15830</v>
      </c>
      <c r="C12" s="243">
        <f>CEILING($B$12*C10, 10)</f>
        <v>5550</v>
      </c>
      <c r="D12" s="243">
        <f t="shared" ref="D12:H12" si="2">CEILING($B$12*D10, 10)</f>
        <v>6340</v>
      </c>
      <c r="E12" s="243">
        <f t="shared" si="2"/>
        <v>6340</v>
      </c>
      <c r="F12" s="243">
        <f t="shared" si="2"/>
        <v>8710</v>
      </c>
      <c r="G12" s="243">
        <f t="shared" si="2"/>
        <v>10290</v>
      </c>
      <c r="H12" s="243">
        <f t="shared" si="2"/>
        <v>13460</v>
      </c>
      <c r="I12" t="s">
        <v>318</v>
      </c>
      <c r="J12" s="148">
        <v>14450</v>
      </c>
      <c r="K12" s="148">
        <v>5060</v>
      </c>
      <c r="L12" s="148">
        <v>5780</v>
      </c>
      <c r="M12" s="148">
        <v>5780</v>
      </c>
      <c r="N12" s="148">
        <v>7950</v>
      </c>
      <c r="O12" s="148">
        <v>9400</v>
      </c>
      <c r="P12" s="148">
        <v>12290</v>
      </c>
      <c r="Q12" s="312">
        <f t="shared" ref="Q12:Q13" si="3">C12/K12-1</f>
        <v>9.6837944664031728E-2</v>
      </c>
      <c r="R12" s="312">
        <f t="shared" si="1"/>
        <v>9.6885813148788857E-2</v>
      </c>
      <c r="S12" s="312">
        <f t="shared" si="1"/>
        <v>9.6885813148788857E-2</v>
      </c>
      <c r="T12" s="312">
        <f t="shared" si="1"/>
        <v>9.5597484276729539E-2</v>
      </c>
      <c r="U12" s="312">
        <f t="shared" si="1"/>
        <v>9.468085106382973E-2</v>
      </c>
      <c r="V12" s="312">
        <f t="shared" si="1"/>
        <v>9.5199349064279959E-2</v>
      </c>
    </row>
    <row r="13" spans="1:22" x14ac:dyDescent="0.3">
      <c r="A13" s="244" t="s">
        <v>15</v>
      </c>
      <c r="B13" s="246">
        <f>Twist!F13</f>
        <v>15830</v>
      </c>
      <c r="C13" s="243">
        <f>CEILING($B$13*C10, 10)</f>
        <v>5550</v>
      </c>
      <c r="D13" s="243">
        <f t="shared" ref="D13:H13" si="4">CEILING($B$13*D10, 10)</f>
        <v>6340</v>
      </c>
      <c r="E13" s="243">
        <f t="shared" si="4"/>
        <v>6340</v>
      </c>
      <c r="F13" s="243">
        <f t="shared" si="4"/>
        <v>8710</v>
      </c>
      <c r="G13" s="243">
        <f t="shared" si="4"/>
        <v>10290</v>
      </c>
      <c r="H13" s="243">
        <f t="shared" si="4"/>
        <v>13460</v>
      </c>
      <c r="I13" t="s">
        <v>15</v>
      </c>
      <c r="J13" s="148">
        <v>14450</v>
      </c>
      <c r="K13" s="148">
        <v>5060</v>
      </c>
      <c r="L13" s="148">
        <v>5780</v>
      </c>
      <c r="M13" s="148">
        <v>5780</v>
      </c>
      <c r="N13" s="148">
        <v>7950</v>
      </c>
      <c r="O13" s="148">
        <v>9400</v>
      </c>
      <c r="P13" s="148">
        <v>12290</v>
      </c>
      <c r="Q13" s="312">
        <f t="shared" si="3"/>
        <v>9.6837944664031728E-2</v>
      </c>
      <c r="R13" s="312">
        <f t="shared" si="1"/>
        <v>9.6885813148788857E-2</v>
      </c>
      <c r="S13" s="312">
        <f t="shared" si="1"/>
        <v>9.6885813148788857E-2</v>
      </c>
      <c r="T13" s="312">
        <f t="shared" si="1"/>
        <v>9.5597484276729539E-2</v>
      </c>
      <c r="U13" s="312">
        <f t="shared" si="1"/>
        <v>9.468085106382973E-2</v>
      </c>
      <c r="V13" s="312">
        <f t="shared" si="1"/>
        <v>9.5199349064279959E-2</v>
      </c>
    </row>
    <row r="14" spans="1:22" ht="13.5" customHeight="1" x14ac:dyDescent="0.3">
      <c r="A14" s="244" t="s">
        <v>2</v>
      </c>
      <c r="B14" s="246">
        <f>Slot!F13</f>
        <v>19530</v>
      </c>
      <c r="C14" s="243" t="s">
        <v>70</v>
      </c>
      <c r="D14" s="243">
        <f t="shared" ref="D14:H14" si="5">CEILING($B$14*D10, 10)</f>
        <v>7820</v>
      </c>
      <c r="E14" s="243">
        <f t="shared" si="5"/>
        <v>7820</v>
      </c>
      <c r="F14" s="243">
        <f t="shared" si="5"/>
        <v>10750</v>
      </c>
      <c r="G14" s="243">
        <f t="shared" si="5"/>
        <v>12700</v>
      </c>
      <c r="H14" s="243">
        <f t="shared" si="5"/>
        <v>16610</v>
      </c>
      <c r="I14" t="s">
        <v>2</v>
      </c>
      <c r="J14" s="148">
        <v>18020</v>
      </c>
      <c r="K14" s="148" t="s">
        <v>70</v>
      </c>
      <c r="L14" s="148">
        <v>7210</v>
      </c>
      <c r="M14" s="148">
        <v>7210</v>
      </c>
      <c r="N14" s="148">
        <v>9920</v>
      </c>
      <c r="O14" s="148">
        <v>11720</v>
      </c>
      <c r="P14" s="148">
        <v>15320</v>
      </c>
      <c r="Q14" s="312" t="s">
        <v>70</v>
      </c>
      <c r="R14" s="312">
        <f t="shared" si="1"/>
        <v>8.46047156726768E-2</v>
      </c>
      <c r="S14" s="312">
        <f t="shared" si="1"/>
        <v>8.46047156726768E-2</v>
      </c>
      <c r="T14" s="312">
        <f t="shared" si="1"/>
        <v>8.3669354838709742E-2</v>
      </c>
      <c r="U14" s="312">
        <f t="shared" si="1"/>
        <v>8.361774744027306E-2</v>
      </c>
      <c r="V14" s="312">
        <f t="shared" si="1"/>
        <v>8.4203655352480311E-2</v>
      </c>
    </row>
    <row r="15" spans="1:22" ht="13.5" customHeight="1" x14ac:dyDescent="0.3">
      <c r="A15" s="244" t="s">
        <v>98</v>
      </c>
      <c r="B15" s="246">
        <f>Duet!F13</f>
        <v>20530</v>
      </c>
      <c r="C15" s="243" t="s">
        <v>70</v>
      </c>
      <c r="D15" s="243" t="s">
        <v>70</v>
      </c>
      <c r="E15" s="243">
        <f t="shared" ref="E15:H15" si="6">CEILING($B$15*E10, 10)</f>
        <v>8220</v>
      </c>
      <c r="F15" s="243">
        <f t="shared" si="6"/>
        <v>11300</v>
      </c>
      <c r="G15" s="243">
        <f>CEILING($B$15*G10, 10)</f>
        <v>13350</v>
      </c>
      <c r="H15" s="243">
        <f t="shared" si="6"/>
        <v>17460</v>
      </c>
      <c r="I15" t="s">
        <v>98</v>
      </c>
      <c r="J15" s="148">
        <v>19020</v>
      </c>
      <c r="K15" s="148" t="s">
        <v>70</v>
      </c>
      <c r="L15" s="148" t="s">
        <v>70</v>
      </c>
      <c r="M15" s="148">
        <v>7610</v>
      </c>
      <c r="N15" s="148">
        <v>10470</v>
      </c>
      <c r="O15" s="148">
        <v>12370</v>
      </c>
      <c r="P15" s="148">
        <v>16170</v>
      </c>
      <c r="Q15" s="312" t="s">
        <v>70</v>
      </c>
      <c r="R15" s="312" t="s">
        <v>70</v>
      </c>
      <c r="S15" s="312">
        <f t="shared" si="1"/>
        <v>8.0157687253613608E-2</v>
      </c>
      <c r="T15" s="312">
        <f t="shared" si="1"/>
        <v>7.9274116523400107E-2</v>
      </c>
      <c r="U15" s="312">
        <f t="shared" si="1"/>
        <v>7.9223928860145509E-2</v>
      </c>
      <c r="V15" s="312">
        <f t="shared" si="1"/>
        <v>7.9777365491651153E-2</v>
      </c>
    </row>
    <row r="16" spans="1:22" ht="13.5" customHeight="1" x14ac:dyDescent="0.3">
      <c r="A16" s="244" t="s">
        <v>319</v>
      </c>
      <c r="B16" s="246">
        <f>'Vetro11, 13'!F13</f>
        <v>21080</v>
      </c>
      <c r="C16" s="243" t="s">
        <v>70</v>
      </c>
      <c r="D16" s="243" t="s">
        <v>70</v>
      </c>
      <c r="E16" s="243">
        <f t="shared" ref="E16:H16" si="7">CEILING($B$16*E10, 10)</f>
        <v>8440</v>
      </c>
      <c r="F16" s="243">
        <f t="shared" si="7"/>
        <v>11600</v>
      </c>
      <c r="G16" s="243">
        <f t="shared" si="7"/>
        <v>13710</v>
      </c>
      <c r="H16" s="243">
        <f t="shared" si="7"/>
        <v>17920</v>
      </c>
      <c r="I16" t="s">
        <v>319</v>
      </c>
      <c r="J16" s="148">
        <v>19520</v>
      </c>
      <c r="K16" s="148" t="s">
        <v>70</v>
      </c>
      <c r="L16" s="148" t="s">
        <v>70</v>
      </c>
      <c r="M16" s="148">
        <v>7810</v>
      </c>
      <c r="N16" s="148">
        <v>10740</v>
      </c>
      <c r="O16" s="148">
        <v>12690</v>
      </c>
      <c r="P16" s="148">
        <v>16600</v>
      </c>
      <c r="Q16" s="312" t="s">
        <v>70</v>
      </c>
      <c r="R16" s="312" t="s">
        <v>70</v>
      </c>
      <c r="S16" s="312">
        <f t="shared" si="1"/>
        <v>8.066581306017917E-2</v>
      </c>
      <c r="T16" s="312">
        <f t="shared" si="1"/>
        <v>8.0074487895716917E-2</v>
      </c>
      <c r="U16" s="312">
        <f t="shared" si="1"/>
        <v>8.0378250591016442E-2</v>
      </c>
      <c r="V16" s="312">
        <f t="shared" si="1"/>
        <v>7.9518072289156638E-2</v>
      </c>
    </row>
    <row r="17" spans="1:22" ht="13.5" customHeight="1" x14ac:dyDescent="0.3">
      <c r="A17" s="244" t="s">
        <v>315</v>
      </c>
      <c r="B17" s="246">
        <f>'Vetro18, 20, 21'!F13</f>
        <v>25640</v>
      </c>
      <c r="C17" s="243" t="s">
        <v>70</v>
      </c>
      <c r="D17" s="243" t="s">
        <v>70</v>
      </c>
      <c r="E17" s="243">
        <f t="shared" ref="E17:H17" si="8">CEILING($B$17*E10, 10)</f>
        <v>10260</v>
      </c>
      <c r="F17" s="243">
        <f t="shared" si="8"/>
        <v>14110</v>
      </c>
      <c r="G17" s="243">
        <f t="shared" si="8"/>
        <v>16670</v>
      </c>
      <c r="H17" s="243">
        <f t="shared" si="8"/>
        <v>21800</v>
      </c>
      <c r="I17" t="s">
        <v>315</v>
      </c>
      <c r="J17">
        <v>23950</v>
      </c>
      <c r="K17" t="s">
        <v>70</v>
      </c>
      <c r="L17" t="s">
        <v>70</v>
      </c>
      <c r="M17">
        <v>9580</v>
      </c>
      <c r="N17">
        <v>13180</v>
      </c>
      <c r="O17">
        <v>15570</v>
      </c>
      <c r="P17">
        <v>20360</v>
      </c>
      <c r="Q17" s="312" t="s">
        <v>70</v>
      </c>
      <c r="R17" s="312" t="s">
        <v>70</v>
      </c>
      <c r="S17" s="312">
        <f t="shared" si="1"/>
        <v>7.0981210855949994E-2</v>
      </c>
      <c r="T17" s="312">
        <f t="shared" si="1"/>
        <v>7.0561456752655571E-2</v>
      </c>
      <c r="U17" s="312">
        <f t="shared" si="1"/>
        <v>7.0648683365446274E-2</v>
      </c>
      <c r="V17" s="312">
        <f t="shared" si="1"/>
        <v>7.0726915520628708E-2</v>
      </c>
    </row>
    <row r="18" spans="1:22" x14ac:dyDescent="0.3">
      <c r="A18" s="247"/>
      <c r="B18" s="248"/>
      <c r="C18" s="248"/>
      <c r="E18" s="149"/>
      <c r="F18" s="149"/>
      <c r="G18" s="149"/>
      <c r="H18" s="149"/>
    </row>
    <row r="19" spans="1:22" ht="22.5" customHeight="1" x14ac:dyDescent="0.3">
      <c r="A19" s="232" t="s">
        <v>294</v>
      </c>
      <c r="B19" s="37"/>
      <c r="C19" s="37"/>
      <c r="D19" s="149"/>
      <c r="E19" s="149"/>
      <c r="F19" s="149"/>
      <c r="G19" s="465"/>
      <c r="H19" s="465"/>
    </row>
    <row r="20" spans="1:22" s="255" customFormat="1" x14ac:dyDescent="0.3">
      <c r="A20" s="253" t="s">
        <v>321</v>
      </c>
      <c r="B20" s="253"/>
      <c r="C20" s="253"/>
      <c r="D20" s="253"/>
      <c r="E20" s="253"/>
      <c r="F20" s="253"/>
      <c r="G20" s="254"/>
      <c r="H20" s="254"/>
    </row>
    <row r="21" spans="1:22" s="255" customFormat="1" x14ac:dyDescent="0.3">
      <c r="A21" s="253" t="s">
        <v>295</v>
      </c>
      <c r="B21" s="253"/>
      <c r="C21" s="253"/>
      <c r="D21" s="253"/>
      <c r="E21" s="253"/>
      <c r="F21" s="253"/>
      <c r="G21" s="254"/>
      <c r="H21" s="254"/>
    </row>
    <row r="22" spans="1:22" s="255" customFormat="1" x14ac:dyDescent="0.3">
      <c r="A22" s="253" t="s">
        <v>322</v>
      </c>
      <c r="B22" s="253"/>
      <c r="C22" s="253"/>
      <c r="D22" s="253"/>
      <c r="E22" s="253"/>
      <c r="F22" s="253"/>
      <c r="G22" s="254"/>
      <c r="H22" s="254"/>
    </row>
    <row r="23" spans="1:22" s="255" customFormat="1" ht="29.25" customHeight="1" x14ac:dyDescent="0.3">
      <c r="A23" s="460" t="s">
        <v>299</v>
      </c>
      <c r="B23" s="460"/>
      <c r="C23" s="460"/>
      <c r="D23" s="460"/>
      <c r="E23" s="460"/>
      <c r="F23" s="460"/>
      <c r="G23" s="460"/>
      <c r="H23" s="460"/>
    </row>
    <row r="24" spans="1:22" s="255" customFormat="1" x14ac:dyDescent="0.3">
      <c r="A24" s="460" t="s">
        <v>323</v>
      </c>
      <c r="B24" s="460"/>
      <c r="C24" s="460"/>
      <c r="D24" s="460"/>
      <c r="E24" s="460"/>
      <c r="F24" s="460"/>
      <c r="G24" s="460"/>
      <c r="H24" s="460"/>
    </row>
    <row r="28" spans="1:22" x14ac:dyDescent="0.3">
      <c r="A28" s="464" t="s">
        <v>190</v>
      </c>
      <c r="B28" s="464"/>
      <c r="C28" s="464"/>
      <c r="D28" s="464"/>
      <c r="E28" s="464"/>
      <c r="F28" s="464"/>
      <c r="G28" s="464"/>
      <c r="H28" s="464"/>
    </row>
    <row r="29" spans="1:22" x14ac:dyDescent="0.3">
      <c r="A29" s="461" t="s">
        <v>316</v>
      </c>
      <c r="B29" s="461"/>
      <c r="C29" s="461"/>
      <c r="D29" s="461"/>
      <c r="E29" s="461"/>
      <c r="F29" s="461"/>
      <c r="G29" s="462" t="s">
        <v>296</v>
      </c>
      <c r="H29" s="462"/>
    </row>
    <row r="30" spans="1:22" x14ac:dyDescent="0.3">
      <c r="A30" s="461" t="s">
        <v>317</v>
      </c>
      <c r="B30" s="461"/>
      <c r="C30" s="461"/>
      <c r="D30" s="461"/>
      <c r="E30" s="461"/>
      <c r="F30" s="461"/>
      <c r="G30" s="462" t="s">
        <v>297</v>
      </c>
      <c r="H30" s="462"/>
    </row>
    <row r="31" spans="1:22" x14ac:dyDescent="0.3">
      <c r="A31" s="233" t="s">
        <v>298</v>
      </c>
      <c r="B31" s="151"/>
      <c r="C31" s="151"/>
      <c r="D31" s="151"/>
      <c r="E31" s="151"/>
      <c r="F31" s="151"/>
      <c r="G31" s="152"/>
      <c r="H31" s="152"/>
    </row>
    <row r="32" spans="1:22" x14ac:dyDescent="0.3">
      <c r="A32" s="153"/>
      <c r="B32" s="153"/>
      <c r="C32" s="153"/>
      <c r="D32" s="153"/>
      <c r="E32" s="153"/>
      <c r="F32" s="153"/>
      <c r="G32" s="153"/>
      <c r="H32" s="153"/>
    </row>
  </sheetData>
  <mergeCells count="14">
    <mergeCell ref="A23:H23"/>
    <mergeCell ref="A30:F30"/>
    <mergeCell ref="G30:H30"/>
    <mergeCell ref="A4:F4"/>
    <mergeCell ref="A28:H28"/>
    <mergeCell ref="A29:F29"/>
    <mergeCell ref="G29:H29"/>
    <mergeCell ref="G19:H19"/>
    <mergeCell ref="A24:H24"/>
    <mergeCell ref="B8:H8"/>
    <mergeCell ref="A8:A9"/>
    <mergeCell ref="A5:H5"/>
    <mergeCell ref="A6:H6"/>
    <mergeCell ref="A7:H7"/>
  </mergeCells>
  <hyperlinks>
    <hyperlink ref="A4:F4" location="СОДЕРЖАНИЕ!A1" display="вернуться в содержание"/>
  </hyperlinks>
  <pageMargins left="0.25" right="0.25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1"/>
  <sheetViews>
    <sheetView view="pageBreakPreview" topLeftCell="A91" zoomScale="106" zoomScaleNormal="96" zoomScaleSheetLayoutView="106" workbookViewId="0">
      <selection activeCell="G104" sqref="G104"/>
    </sheetView>
  </sheetViews>
  <sheetFormatPr defaultRowHeight="14.4" outlineLevelRow="1" x14ac:dyDescent="0.3"/>
  <cols>
    <col min="1" max="1" width="27.109375" customWidth="1"/>
    <col min="2" max="2" width="8.5546875" customWidth="1"/>
    <col min="3" max="4" width="8.5546875" style="1" customWidth="1"/>
    <col min="5" max="5" width="16.6640625" customWidth="1"/>
    <col min="6" max="6" width="10.5546875" customWidth="1"/>
    <col min="7" max="7" width="15.88671875" customWidth="1"/>
    <col min="8" max="8" width="7.5546875" hidden="1" customWidth="1"/>
    <col min="9" max="14" width="0" hidden="1" customWidth="1"/>
    <col min="17" max="17" width="12.88671875" customWidth="1"/>
  </cols>
  <sheetData>
    <row r="1" spans="1:9" s="58" customFormat="1" ht="18.75" customHeight="1" x14ac:dyDescent="0.3">
      <c r="A1" s="91"/>
      <c r="B1" s="41"/>
      <c r="E1" s="41"/>
      <c r="G1" s="214" t="str">
        <f>СОДЕРЖАНИЕ!I2</f>
        <v>Прайс-лист на изделия из ПВХ от 02.12.2024</v>
      </c>
    </row>
    <row r="2" spans="1:9" ht="24.75" customHeight="1" x14ac:dyDescent="0.3">
      <c r="A2" s="57"/>
      <c r="B2" s="41"/>
      <c r="C2" s="41"/>
      <c r="D2" s="41"/>
      <c r="E2" s="41"/>
      <c r="F2" s="41"/>
      <c r="G2" s="41"/>
      <c r="H2" s="41"/>
    </row>
    <row r="3" spans="1:9" ht="19.5" customHeight="1" x14ac:dyDescent="0.3">
      <c r="A3" s="57"/>
      <c r="B3" s="57"/>
      <c r="C3" s="57"/>
      <c r="D3" s="57"/>
      <c r="E3" s="57"/>
      <c r="F3" s="57"/>
    </row>
    <row r="4" spans="1:9" s="58" customFormat="1" ht="24" customHeight="1" x14ac:dyDescent="0.3">
      <c r="A4" s="463" t="s">
        <v>71</v>
      </c>
      <c r="B4" s="463"/>
      <c r="C4" s="463"/>
      <c r="D4" s="463"/>
      <c r="E4" s="463"/>
      <c r="F4" s="463"/>
    </row>
    <row r="5" spans="1:9" ht="19.5" customHeight="1" x14ac:dyDescent="0.3">
      <c r="A5" s="259" t="s">
        <v>304</v>
      </c>
      <c r="B5" s="259"/>
      <c r="C5" s="259"/>
      <c r="D5" s="259"/>
      <c r="E5" s="259"/>
      <c r="F5" s="259"/>
      <c r="G5" s="259"/>
      <c r="H5" s="58"/>
    </row>
    <row r="6" spans="1:9" ht="38.25" customHeight="1" x14ac:dyDescent="0.3">
      <c r="A6" s="258"/>
      <c r="B6" s="258"/>
      <c r="C6" s="258"/>
      <c r="D6" s="258"/>
      <c r="E6" s="258"/>
      <c r="F6" s="258"/>
      <c r="G6" s="258"/>
      <c r="H6" s="58"/>
    </row>
    <row r="7" spans="1:9" ht="15.6" customHeight="1" x14ac:dyDescent="0.3">
      <c r="A7" s="408" t="s">
        <v>344</v>
      </c>
      <c r="B7" s="409"/>
      <c r="C7" s="409"/>
      <c r="D7" s="409"/>
      <c r="E7" s="409"/>
      <c r="F7" s="409"/>
      <c r="G7" s="409"/>
      <c r="H7" s="148"/>
    </row>
    <row r="8" spans="1:9" ht="15.6" customHeight="1" x14ac:dyDescent="0.3">
      <c r="A8" s="374" t="s">
        <v>189</v>
      </c>
      <c r="B8" s="374"/>
      <c r="C8" s="374"/>
      <c r="D8" s="468" t="s">
        <v>332</v>
      </c>
      <c r="E8" s="469"/>
      <c r="F8" s="470"/>
      <c r="G8" s="466" t="s">
        <v>326</v>
      </c>
      <c r="H8" s="148"/>
    </row>
    <row r="9" spans="1:9" s="252" customFormat="1" x14ac:dyDescent="0.3">
      <c r="A9" s="374"/>
      <c r="B9" s="374"/>
      <c r="C9" s="374"/>
      <c r="D9" s="234" t="s">
        <v>339</v>
      </c>
      <c r="E9" s="234" t="s">
        <v>330</v>
      </c>
      <c r="F9" s="234" t="s">
        <v>331</v>
      </c>
      <c r="G9" s="467"/>
      <c r="H9" s="148"/>
    </row>
    <row r="10" spans="1:9" ht="13.5" customHeight="1" thickBot="1" x14ac:dyDescent="0.35">
      <c r="A10" s="475" t="s">
        <v>328</v>
      </c>
      <c r="B10" s="475"/>
      <c r="C10" s="475"/>
      <c r="D10" s="296" t="s">
        <v>389</v>
      </c>
      <c r="E10" s="296" t="s">
        <v>341</v>
      </c>
      <c r="F10" s="296">
        <v>10</v>
      </c>
      <c r="G10" s="297">
        <v>4650</v>
      </c>
      <c r="H10" s="266">
        <v>4500</v>
      </c>
      <c r="I10" s="311">
        <f>G10/H10-1</f>
        <v>3.3333333333333437E-2</v>
      </c>
    </row>
    <row r="11" spans="1:9" ht="15" outlineLevel="1" thickTop="1" x14ac:dyDescent="0.3">
      <c r="A11" s="476" t="s">
        <v>336</v>
      </c>
      <c r="B11" s="476"/>
      <c r="C11" s="476"/>
      <c r="D11" s="298">
        <v>2600</v>
      </c>
      <c r="E11" s="299">
        <v>25</v>
      </c>
      <c r="F11" s="299">
        <v>10.5</v>
      </c>
      <c r="G11" s="243">
        <f>CEILING(Погонаж!G88*1.2, 50)</f>
        <v>550</v>
      </c>
      <c r="H11" s="267">
        <v>500</v>
      </c>
      <c r="I11" s="311">
        <f t="shared" ref="I11:I15" si="0">G11/H11-1</f>
        <v>0.10000000000000009</v>
      </c>
    </row>
    <row r="12" spans="1:9" x14ac:dyDescent="0.3">
      <c r="A12" s="471" t="s">
        <v>312</v>
      </c>
      <c r="B12" s="471"/>
      <c r="C12" s="471"/>
      <c r="D12" s="300">
        <v>2050</v>
      </c>
      <c r="E12" s="301">
        <v>25</v>
      </c>
      <c r="F12" s="301">
        <v>4</v>
      </c>
      <c r="G12" s="243">
        <v>160</v>
      </c>
      <c r="H12">
        <v>150</v>
      </c>
      <c r="I12" s="311">
        <f t="shared" si="0"/>
        <v>6.6666666666666652E-2</v>
      </c>
    </row>
    <row r="13" spans="1:9" x14ac:dyDescent="0.3">
      <c r="A13" s="471" t="s">
        <v>342</v>
      </c>
      <c r="B13" s="471"/>
      <c r="C13" s="471"/>
      <c r="D13" s="300">
        <v>2050</v>
      </c>
      <c r="E13" s="301">
        <v>45</v>
      </c>
      <c r="F13" s="301">
        <v>4.5</v>
      </c>
      <c r="G13" s="243">
        <v>470</v>
      </c>
      <c r="H13">
        <v>450</v>
      </c>
      <c r="I13" s="311">
        <f t="shared" si="0"/>
        <v>4.4444444444444509E-2</v>
      </c>
    </row>
    <row r="14" spans="1:9" outlineLevel="1" x14ac:dyDescent="0.3">
      <c r="A14" s="471" t="s">
        <v>337</v>
      </c>
      <c r="B14" s="471"/>
      <c r="C14" s="471"/>
      <c r="D14" s="300">
        <v>2600</v>
      </c>
      <c r="E14" s="301" t="s">
        <v>387</v>
      </c>
      <c r="F14" s="301">
        <v>4</v>
      </c>
      <c r="G14" s="243">
        <f>G11*2</f>
        <v>1100</v>
      </c>
      <c r="H14">
        <v>1000</v>
      </c>
      <c r="I14" s="311">
        <f t="shared" si="0"/>
        <v>0.10000000000000009</v>
      </c>
    </row>
    <row r="15" spans="1:9" outlineLevel="1" x14ac:dyDescent="0.3">
      <c r="A15" s="471" t="s">
        <v>338</v>
      </c>
      <c r="B15" s="471"/>
      <c r="C15" s="471"/>
      <c r="D15" s="300">
        <v>2600</v>
      </c>
      <c r="E15" s="301" t="s">
        <v>388</v>
      </c>
      <c r="F15" s="301">
        <v>4</v>
      </c>
      <c r="G15" s="243">
        <f>G11*2</f>
        <v>1100</v>
      </c>
      <c r="H15">
        <v>1000</v>
      </c>
      <c r="I15" s="311">
        <f t="shared" si="0"/>
        <v>0.10000000000000009</v>
      </c>
    </row>
    <row r="16" spans="1:9" ht="13.5" customHeight="1" x14ac:dyDescent="0.3">
      <c r="A16" s="148"/>
      <c r="B16" s="148"/>
      <c r="C16" s="148"/>
      <c r="D16" s="148"/>
      <c r="E16" s="148"/>
      <c r="F16" s="148"/>
      <c r="G16" s="148"/>
      <c r="H16" s="148"/>
    </row>
    <row r="17" spans="1:13" ht="13.5" customHeight="1" x14ac:dyDescent="0.3">
      <c r="A17" s="315" t="s">
        <v>294</v>
      </c>
      <c r="B17" s="316"/>
      <c r="C17" s="317"/>
      <c r="D17" s="317"/>
      <c r="E17" s="316"/>
      <c r="F17" s="316"/>
      <c r="G17" s="318"/>
      <c r="H17" s="148"/>
    </row>
    <row r="18" spans="1:13" ht="13.5" customHeight="1" x14ac:dyDescent="0.3">
      <c r="A18" s="295" t="s">
        <v>343</v>
      </c>
      <c r="B18" s="319"/>
      <c r="C18" s="319"/>
      <c r="D18" s="319"/>
      <c r="E18" s="319"/>
      <c r="F18" s="319"/>
      <c r="G18" s="320"/>
      <c r="H18" s="148"/>
    </row>
    <row r="19" spans="1:13" ht="13.5" customHeight="1" x14ac:dyDescent="0.3">
      <c r="A19" s="295" t="s">
        <v>295</v>
      </c>
      <c r="B19" s="319"/>
      <c r="C19" s="319"/>
      <c r="D19" s="319"/>
      <c r="E19" s="319"/>
      <c r="F19" s="319"/>
      <c r="G19" s="320"/>
      <c r="H19" s="148"/>
    </row>
    <row r="20" spans="1:13" ht="13.5" customHeight="1" x14ac:dyDescent="0.3">
      <c r="A20" s="295" t="s">
        <v>357</v>
      </c>
      <c r="B20" s="319"/>
      <c r="C20" s="319"/>
      <c r="D20" s="319"/>
      <c r="E20" s="319"/>
      <c r="F20" s="319"/>
      <c r="G20" s="320"/>
      <c r="H20" s="148"/>
    </row>
    <row r="21" spans="1:13" ht="13.5" customHeight="1" x14ac:dyDescent="0.3">
      <c r="A21" s="295" t="s">
        <v>370</v>
      </c>
      <c r="B21" s="321"/>
      <c r="C21" s="322"/>
      <c r="D21" s="322"/>
      <c r="E21" s="321"/>
      <c r="F21" s="321"/>
      <c r="G21" s="321"/>
      <c r="H21" s="148"/>
    </row>
    <row r="22" spans="1:13" ht="13.5" customHeight="1" x14ac:dyDescent="0.3">
      <c r="A22" s="295" t="s">
        <v>371</v>
      </c>
      <c r="B22" s="319"/>
      <c r="C22" s="319"/>
      <c r="D22" s="319"/>
      <c r="E22" s="319"/>
      <c r="F22" s="319"/>
      <c r="G22" s="320"/>
      <c r="H22" s="148"/>
    </row>
    <row r="23" spans="1:13" ht="13.5" customHeight="1" x14ac:dyDescent="0.3">
      <c r="A23" s="295" t="s">
        <v>372</v>
      </c>
      <c r="B23" s="323"/>
      <c r="C23" s="323"/>
      <c r="D23" s="323"/>
      <c r="E23" s="323"/>
      <c r="F23" s="323"/>
      <c r="G23" s="323"/>
      <c r="H23" s="148"/>
    </row>
    <row r="24" spans="1:13" ht="13.5" customHeight="1" x14ac:dyDescent="0.3">
      <c r="A24" s="295" t="s">
        <v>373</v>
      </c>
      <c r="B24" s="323"/>
      <c r="C24" s="323"/>
      <c r="D24" s="323"/>
      <c r="E24" s="323"/>
      <c r="F24" s="323"/>
      <c r="G24" s="323"/>
      <c r="H24" s="148"/>
    </row>
    <row r="25" spans="1:13" ht="13.5" customHeight="1" x14ac:dyDescent="0.3">
      <c r="A25" s="295" t="s">
        <v>374</v>
      </c>
      <c r="B25" s="321"/>
      <c r="C25" s="322"/>
      <c r="D25" s="322"/>
      <c r="E25" s="321"/>
      <c r="F25" s="321"/>
      <c r="G25" s="321"/>
      <c r="H25" s="148"/>
    </row>
    <row r="26" spans="1:13" ht="13.5" customHeight="1" x14ac:dyDescent="0.3">
      <c r="A26" s="148"/>
      <c r="B26" s="148"/>
      <c r="C26" s="148"/>
      <c r="D26" s="148"/>
      <c r="E26" s="148"/>
      <c r="F26" s="148"/>
      <c r="G26" s="148"/>
      <c r="H26" s="148"/>
    </row>
    <row r="27" spans="1:13" x14ac:dyDescent="0.3">
      <c r="A27" s="472" t="s">
        <v>345</v>
      </c>
      <c r="B27" s="472"/>
      <c r="C27" s="472"/>
      <c r="D27" s="472"/>
      <c r="E27" s="472"/>
      <c r="F27" s="472"/>
      <c r="G27" s="472"/>
      <c r="H27" s="264"/>
    </row>
    <row r="28" spans="1:13" ht="22.5" customHeight="1" x14ac:dyDescent="0.3">
      <c r="A28" s="473"/>
      <c r="B28" s="473"/>
      <c r="C28" s="473"/>
      <c r="D28" s="473"/>
      <c r="E28" s="473"/>
      <c r="F28" s="473"/>
      <c r="G28" s="472"/>
      <c r="H28" s="257"/>
    </row>
    <row r="29" spans="1:13" s="255" customFormat="1" ht="15" customHeight="1" x14ac:dyDescent="0.3">
      <c r="A29" s="466" t="s">
        <v>189</v>
      </c>
      <c r="B29" s="468" t="s">
        <v>332</v>
      </c>
      <c r="C29" s="469"/>
      <c r="D29" s="470"/>
      <c r="E29" s="396" t="s">
        <v>329</v>
      </c>
      <c r="F29" s="396"/>
      <c r="G29" s="360"/>
      <c r="H29" s="254"/>
    </row>
    <row r="30" spans="1:13" s="255" customFormat="1" x14ac:dyDescent="0.3">
      <c r="A30" s="467"/>
      <c r="B30" s="260" t="s">
        <v>339</v>
      </c>
      <c r="C30" s="260" t="s">
        <v>330</v>
      </c>
      <c r="D30" s="260" t="s">
        <v>331</v>
      </c>
      <c r="E30" s="340" t="s">
        <v>354</v>
      </c>
      <c r="F30" s="340" t="s">
        <v>355</v>
      </c>
      <c r="G30" s="361"/>
      <c r="H30" s="254"/>
    </row>
    <row r="31" spans="1:13" s="255" customFormat="1" ht="24.75" customHeight="1" x14ac:dyDescent="0.3">
      <c r="A31" s="341" t="s">
        <v>351</v>
      </c>
      <c r="B31" s="342">
        <v>500</v>
      </c>
      <c r="C31" s="342">
        <v>500</v>
      </c>
      <c r="D31" s="342">
        <v>10</v>
      </c>
      <c r="E31" s="343">
        <v>1100</v>
      </c>
      <c r="F31" s="343">
        <v>1100</v>
      </c>
      <c r="G31" s="362"/>
      <c r="H31" s="359">
        <v>1050</v>
      </c>
      <c r="I31" s="273">
        <f>H31</f>
        <v>1050</v>
      </c>
      <c r="J31" s="273">
        <f>H31*1.3</f>
        <v>1365</v>
      </c>
      <c r="K31" s="314">
        <f>E31/H31-1</f>
        <v>4.7619047619047672E-2</v>
      </c>
      <c r="L31" s="314">
        <f t="shared" ref="L31:M31" si="1">F31/I31-1</f>
        <v>4.7619047619047672E-2</v>
      </c>
      <c r="M31" s="314">
        <f t="shared" si="1"/>
        <v>-1</v>
      </c>
    </row>
    <row r="32" spans="1:13" ht="24.75" customHeight="1" x14ac:dyDescent="0.3">
      <c r="A32" s="341" t="s">
        <v>353</v>
      </c>
      <c r="B32" s="342">
        <v>1100</v>
      </c>
      <c r="C32" s="342">
        <v>500</v>
      </c>
      <c r="D32" s="342">
        <v>10</v>
      </c>
      <c r="E32" s="343">
        <v>2300</v>
      </c>
      <c r="F32" s="343" t="s">
        <v>70</v>
      </c>
      <c r="G32" s="362"/>
      <c r="H32" s="359">
        <v>2200</v>
      </c>
      <c r="I32" s="273"/>
      <c r="J32" s="273"/>
      <c r="K32" s="314">
        <f t="shared" ref="K32:K33" si="2">E32/H32-1</f>
        <v>4.5454545454545414E-2</v>
      </c>
      <c r="L32" s="311" t="s">
        <v>390</v>
      </c>
      <c r="M32" s="311" t="s">
        <v>390</v>
      </c>
    </row>
    <row r="33" spans="1:13" s="255" customFormat="1" ht="24.75" customHeight="1" x14ac:dyDescent="0.3">
      <c r="A33" s="341" t="s">
        <v>352</v>
      </c>
      <c r="B33" s="342">
        <v>2700</v>
      </c>
      <c r="C33" s="342">
        <v>300</v>
      </c>
      <c r="D33" s="342">
        <v>10</v>
      </c>
      <c r="E33" s="343">
        <v>3400</v>
      </c>
      <c r="F33" s="343" t="s">
        <v>70</v>
      </c>
      <c r="G33" s="362"/>
      <c r="H33" s="359">
        <v>3250</v>
      </c>
      <c r="I33" s="273"/>
      <c r="J33" s="273"/>
      <c r="K33" s="314">
        <f t="shared" si="2"/>
        <v>4.6153846153846212E-2</v>
      </c>
      <c r="L33" s="311" t="s">
        <v>390</v>
      </c>
      <c r="M33" s="311" t="s">
        <v>390</v>
      </c>
    </row>
    <row r="34" spans="1:13" s="255" customFormat="1" ht="24.75" customHeight="1" x14ac:dyDescent="0.3">
      <c r="A34" s="346" t="s">
        <v>407</v>
      </c>
      <c r="B34" s="346"/>
      <c r="C34" s="346"/>
      <c r="D34" s="346"/>
      <c r="E34" s="477">
        <v>810</v>
      </c>
      <c r="F34" s="477"/>
      <c r="G34" s="363"/>
      <c r="H34" s="261"/>
    </row>
    <row r="35" spans="1:13" s="255" customFormat="1" ht="24.75" customHeight="1" x14ac:dyDescent="0.3">
      <c r="A35" s="347" t="s">
        <v>409</v>
      </c>
      <c r="B35" s="348"/>
      <c r="C35" s="348"/>
      <c r="D35" s="348"/>
      <c r="E35" s="478">
        <v>1080</v>
      </c>
      <c r="F35" s="478"/>
      <c r="G35" s="364"/>
      <c r="H35" s="261"/>
    </row>
    <row r="36" spans="1:13" ht="24.75" customHeight="1" x14ac:dyDescent="0.3">
      <c r="A36" s="347" t="s">
        <v>408</v>
      </c>
      <c r="B36" s="349"/>
      <c r="C36" s="350"/>
      <c r="D36" s="350"/>
      <c r="E36" s="478">
        <v>750</v>
      </c>
      <c r="F36" s="478"/>
      <c r="G36" s="364"/>
    </row>
    <row r="37" spans="1:13" ht="24.75" customHeight="1" x14ac:dyDescent="0.3">
      <c r="A37" s="295" t="s">
        <v>406</v>
      </c>
      <c r="B37" s="353"/>
      <c r="C37" s="354"/>
      <c r="D37" s="354"/>
      <c r="E37" s="355"/>
      <c r="F37" s="355"/>
      <c r="G37" s="364"/>
    </row>
    <row r="38" spans="1:13" ht="13.5" customHeight="1" x14ac:dyDescent="0.3">
      <c r="A38" s="315" t="s">
        <v>294</v>
      </c>
      <c r="B38" s="316"/>
      <c r="C38" s="317"/>
      <c r="D38" s="317"/>
      <c r="E38" s="316"/>
      <c r="F38" s="316"/>
      <c r="G38" s="318"/>
      <c r="H38" s="148"/>
    </row>
    <row r="39" spans="1:13" ht="13.5" customHeight="1" x14ac:dyDescent="0.3">
      <c r="A39" s="295" t="s">
        <v>412</v>
      </c>
      <c r="B39" s="319"/>
      <c r="C39" s="319"/>
      <c r="D39" s="319"/>
      <c r="E39" s="319"/>
      <c r="F39" s="319"/>
      <c r="G39" s="320"/>
      <c r="H39" s="148"/>
    </row>
    <row r="40" spans="1:13" ht="13.5" customHeight="1" x14ac:dyDescent="0.3">
      <c r="A40" s="295" t="s">
        <v>410</v>
      </c>
      <c r="B40" s="319"/>
      <c r="C40" s="319"/>
      <c r="D40" s="319"/>
      <c r="E40" s="319"/>
      <c r="F40" s="319"/>
      <c r="G40" s="320"/>
      <c r="H40" s="148"/>
    </row>
    <row r="41" spans="1:13" ht="13.5" customHeight="1" x14ac:dyDescent="0.3">
      <c r="A41" s="295" t="s">
        <v>411</v>
      </c>
      <c r="B41" s="319"/>
      <c r="C41" s="319"/>
      <c r="D41" s="319"/>
      <c r="E41" s="319"/>
      <c r="F41" s="319"/>
      <c r="G41" s="320"/>
      <c r="H41" s="148"/>
    </row>
    <row r="42" spans="1:13" ht="13.5" customHeight="1" x14ac:dyDescent="0.3">
      <c r="A42" s="295" t="s">
        <v>370</v>
      </c>
      <c r="B42" s="321"/>
      <c r="C42" s="322"/>
      <c r="D42" s="322"/>
      <c r="E42" s="321"/>
      <c r="F42" s="321"/>
      <c r="G42" s="321"/>
      <c r="H42" s="148"/>
    </row>
    <row r="43" spans="1:13" ht="13.5" customHeight="1" x14ac:dyDescent="0.3">
      <c r="A43" s="295" t="s">
        <v>371</v>
      </c>
      <c r="B43" s="319"/>
      <c r="C43" s="319"/>
      <c r="D43" s="319"/>
      <c r="E43" s="319"/>
      <c r="F43" s="319"/>
      <c r="G43" s="320"/>
      <c r="H43" s="148"/>
    </row>
    <row r="44" spans="1:13" ht="13.5" customHeight="1" x14ac:dyDescent="0.3">
      <c r="A44" s="295" t="s">
        <v>372</v>
      </c>
      <c r="B44" s="323"/>
      <c r="C44" s="323"/>
      <c r="D44" s="323"/>
      <c r="E44" s="323"/>
      <c r="F44" s="323"/>
      <c r="G44" s="323"/>
      <c r="H44" s="148"/>
    </row>
    <row r="45" spans="1:13" ht="13.5" customHeight="1" x14ac:dyDescent="0.3">
      <c r="A45" s="295" t="s">
        <v>373</v>
      </c>
      <c r="B45" s="323"/>
      <c r="C45" s="323"/>
      <c r="D45" s="323"/>
      <c r="E45" s="323"/>
      <c r="F45" s="323"/>
      <c r="G45" s="323"/>
      <c r="H45" s="148"/>
    </row>
    <row r="46" spans="1:13" ht="13.5" customHeight="1" x14ac:dyDescent="0.3">
      <c r="A46" s="295" t="s">
        <v>413</v>
      </c>
      <c r="B46" s="321"/>
      <c r="C46" s="322"/>
      <c r="D46" s="322"/>
      <c r="E46" s="321"/>
      <c r="F46" s="321"/>
      <c r="G46" s="365"/>
      <c r="H46" s="148"/>
    </row>
    <row r="47" spans="1:13" x14ac:dyDescent="0.3">
      <c r="A47" s="344"/>
      <c r="B47" s="344"/>
      <c r="C47" s="345"/>
      <c r="D47" s="345"/>
      <c r="E47" s="344"/>
      <c r="F47" s="344"/>
      <c r="G47" s="344"/>
    </row>
    <row r="48" spans="1:13" x14ac:dyDescent="0.3">
      <c r="A48" s="344"/>
      <c r="B48" s="344"/>
      <c r="C48" s="345"/>
      <c r="D48" s="345"/>
      <c r="E48" s="344"/>
      <c r="F48" s="344"/>
      <c r="G48" s="344"/>
    </row>
    <row r="49" spans="1:7" x14ac:dyDescent="0.3">
      <c r="A49" s="344"/>
      <c r="B49" s="344"/>
      <c r="C49" s="345"/>
      <c r="D49" s="345"/>
      <c r="E49" s="344"/>
      <c r="F49" s="344"/>
      <c r="G49" s="344"/>
    </row>
    <row r="50" spans="1:7" x14ac:dyDescent="0.3">
      <c r="A50" s="344"/>
      <c r="B50" s="344"/>
      <c r="C50" s="345"/>
      <c r="D50" s="345"/>
      <c r="E50" s="344"/>
      <c r="F50" s="344"/>
      <c r="G50" s="344"/>
    </row>
    <row r="51" spans="1:7" x14ac:dyDescent="0.3">
      <c r="A51" s="344"/>
      <c r="B51" s="344"/>
      <c r="C51" s="345"/>
      <c r="D51" s="345"/>
      <c r="E51" s="344"/>
      <c r="F51" s="344"/>
      <c r="G51" s="344"/>
    </row>
    <row r="52" spans="1:7" x14ac:dyDescent="0.3">
      <c r="A52" s="344"/>
      <c r="B52" s="344"/>
      <c r="C52" s="345"/>
      <c r="D52" s="345"/>
      <c r="E52" s="344"/>
      <c r="F52" s="344"/>
      <c r="G52" s="344"/>
    </row>
    <row r="53" spans="1:7" x14ac:dyDescent="0.3">
      <c r="A53" s="351" t="s">
        <v>390</v>
      </c>
      <c r="C53" s="352" t="s">
        <v>390</v>
      </c>
    </row>
    <row r="54" spans="1:7" x14ac:dyDescent="0.3">
      <c r="A54" s="351" t="s">
        <v>403</v>
      </c>
      <c r="B54" s="321"/>
      <c r="C54" s="352" t="s">
        <v>404</v>
      </c>
      <c r="D54" s="322"/>
      <c r="E54" s="321"/>
      <c r="F54" s="251" t="s">
        <v>405</v>
      </c>
      <c r="G54" s="321"/>
    </row>
    <row r="55" spans="1:7" x14ac:dyDescent="0.3">
      <c r="A55" s="295"/>
      <c r="B55" s="321"/>
      <c r="C55" s="322"/>
      <c r="D55" s="322"/>
      <c r="E55" s="321"/>
      <c r="F55" s="321"/>
      <c r="G55" s="321"/>
    </row>
    <row r="56" spans="1:7" x14ac:dyDescent="0.3">
      <c r="B56" s="321"/>
      <c r="C56" s="322"/>
      <c r="D56" s="322"/>
      <c r="E56" s="321"/>
      <c r="F56" s="321"/>
      <c r="G56" s="321"/>
    </row>
    <row r="57" spans="1:7" x14ac:dyDescent="0.3">
      <c r="A57" s="295"/>
      <c r="B57" s="321"/>
      <c r="C57" s="322"/>
      <c r="D57" s="322"/>
      <c r="E57" s="321"/>
      <c r="F57" s="321"/>
      <c r="G57" s="321"/>
    </row>
    <row r="58" spans="1:7" x14ac:dyDescent="0.3">
      <c r="A58" s="295"/>
      <c r="B58" s="321"/>
      <c r="C58" s="322"/>
      <c r="D58" s="322"/>
      <c r="E58" s="321"/>
      <c r="F58" s="321"/>
      <c r="G58" s="321"/>
    </row>
    <row r="59" spans="1:7" x14ac:dyDescent="0.3">
      <c r="A59" s="295"/>
      <c r="B59" s="321"/>
      <c r="C59" s="322"/>
      <c r="D59" s="322"/>
      <c r="E59" s="321"/>
      <c r="F59" s="321"/>
      <c r="G59" s="321"/>
    </row>
    <row r="60" spans="1:7" x14ac:dyDescent="0.3">
      <c r="A60" s="295"/>
      <c r="B60" s="321"/>
      <c r="C60" s="322"/>
      <c r="D60" s="322"/>
      <c r="E60" s="321"/>
      <c r="F60" s="321"/>
      <c r="G60" s="321"/>
    </row>
    <row r="61" spans="1:7" x14ac:dyDescent="0.3">
      <c r="A61" s="295"/>
      <c r="B61" s="321"/>
      <c r="C61" s="322"/>
      <c r="D61" s="322"/>
      <c r="E61" s="321"/>
      <c r="F61" s="321"/>
      <c r="G61" s="321"/>
    </row>
    <row r="62" spans="1:7" x14ac:dyDescent="0.3">
      <c r="A62" s="295"/>
      <c r="B62" s="321"/>
      <c r="C62" s="322"/>
      <c r="D62" s="322"/>
      <c r="E62" s="321"/>
      <c r="F62" s="321"/>
      <c r="G62" s="321"/>
    </row>
    <row r="63" spans="1:7" x14ac:dyDescent="0.3">
      <c r="A63" s="295"/>
      <c r="B63" s="321"/>
      <c r="C63" s="322"/>
      <c r="D63" s="322"/>
      <c r="E63" s="321"/>
      <c r="F63" s="321"/>
      <c r="G63" s="321"/>
    </row>
    <row r="64" spans="1:7" x14ac:dyDescent="0.3">
      <c r="A64" s="295"/>
      <c r="B64" s="321"/>
      <c r="C64" s="322"/>
      <c r="D64" s="322"/>
      <c r="E64" s="321"/>
      <c r="F64" s="321"/>
      <c r="G64" s="321"/>
    </row>
    <row r="65" spans="1:7" x14ac:dyDescent="0.3">
      <c r="A65" s="295"/>
      <c r="B65" s="321"/>
      <c r="C65" s="322"/>
      <c r="D65" s="322"/>
      <c r="E65" s="321"/>
      <c r="F65" s="321"/>
      <c r="G65" s="321"/>
    </row>
    <row r="66" spans="1:7" x14ac:dyDescent="0.3">
      <c r="A66" s="295"/>
      <c r="B66" s="321"/>
      <c r="C66" s="322"/>
      <c r="D66" s="322"/>
      <c r="E66" s="321" t="s">
        <v>403</v>
      </c>
      <c r="F66" s="474" t="s">
        <v>405</v>
      </c>
      <c r="G66" s="474"/>
    </row>
    <row r="67" spans="1:7" x14ac:dyDescent="0.3">
      <c r="A67" s="295"/>
      <c r="B67" s="321"/>
      <c r="C67" s="322"/>
      <c r="D67" s="322"/>
      <c r="E67" s="321"/>
      <c r="F67" s="321"/>
      <c r="G67" s="321"/>
    </row>
    <row r="68" spans="1:7" x14ac:dyDescent="0.3">
      <c r="A68" s="295"/>
      <c r="B68" s="321"/>
      <c r="C68" s="322"/>
      <c r="D68" s="322"/>
      <c r="E68" s="321"/>
      <c r="F68" s="321"/>
      <c r="G68" s="321"/>
    </row>
    <row r="69" spans="1:7" x14ac:dyDescent="0.3">
      <c r="A69" s="295"/>
      <c r="B69" s="321"/>
      <c r="C69" s="322"/>
      <c r="D69" s="322"/>
      <c r="E69" s="321"/>
      <c r="F69" s="321"/>
      <c r="G69" s="321"/>
    </row>
    <row r="70" spans="1:7" x14ac:dyDescent="0.3">
      <c r="A70" s="295"/>
      <c r="B70" s="321"/>
      <c r="C70" s="322"/>
      <c r="D70" s="322"/>
      <c r="E70" s="321"/>
      <c r="F70" s="321"/>
      <c r="G70" s="321"/>
    </row>
    <row r="71" spans="1:7" x14ac:dyDescent="0.3">
      <c r="A71" s="295"/>
      <c r="B71" s="321"/>
      <c r="C71" s="322"/>
      <c r="D71" s="322"/>
      <c r="E71" s="321"/>
      <c r="F71" s="321"/>
      <c r="G71" s="321"/>
    </row>
    <row r="72" spans="1:7" x14ac:dyDescent="0.3">
      <c r="A72" s="295"/>
      <c r="B72" s="321"/>
      <c r="C72" s="322"/>
      <c r="D72" s="322"/>
      <c r="E72" s="321"/>
      <c r="F72" s="321"/>
      <c r="G72" s="321"/>
    </row>
    <row r="73" spans="1:7" x14ac:dyDescent="0.3">
      <c r="A73" s="295"/>
      <c r="B73" s="321"/>
      <c r="C73" s="322"/>
      <c r="D73" s="322"/>
      <c r="E73" s="321"/>
      <c r="F73" s="321"/>
      <c r="G73" s="321"/>
    </row>
    <row r="74" spans="1:7" x14ac:dyDescent="0.3">
      <c r="A74" s="295"/>
      <c r="B74" s="321"/>
      <c r="C74" s="322"/>
      <c r="D74" s="322"/>
      <c r="E74" s="321"/>
      <c r="F74" s="321"/>
      <c r="G74" s="321"/>
    </row>
    <row r="75" spans="1:7" x14ac:dyDescent="0.3">
      <c r="A75" s="295"/>
      <c r="B75" s="321"/>
      <c r="C75" s="322"/>
      <c r="D75" s="322"/>
      <c r="E75" s="321"/>
      <c r="F75" s="321"/>
      <c r="G75" s="321"/>
    </row>
    <row r="76" spans="1:7" x14ac:dyDescent="0.3">
      <c r="A76" s="295"/>
      <c r="B76" s="321"/>
      <c r="C76" s="322"/>
      <c r="D76" s="322"/>
      <c r="E76" s="321"/>
      <c r="F76" s="321"/>
      <c r="G76" s="321"/>
    </row>
    <row r="77" spans="1:7" x14ac:dyDescent="0.3">
      <c r="A77" s="295"/>
      <c r="B77" s="321"/>
      <c r="C77" s="322"/>
      <c r="D77" s="322"/>
      <c r="E77" s="321"/>
      <c r="F77" s="321"/>
      <c r="G77" s="321"/>
    </row>
    <row r="78" spans="1:7" x14ac:dyDescent="0.3">
      <c r="A78" s="366" t="s">
        <v>414</v>
      </c>
      <c r="B78" s="321"/>
      <c r="C78" s="322"/>
      <c r="D78" s="322"/>
      <c r="E78" s="321"/>
      <c r="F78" s="321"/>
      <c r="G78" s="321"/>
    </row>
    <row r="79" spans="1:7" x14ac:dyDescent="0.3">
      <c r="A79" s="295"/>
      <c r="B79" s="321"/>
      <c r="C79" s="322"/>
      <c r="D79" s="322"/>
      <c r="E79" s="321"/>
      <c r="F79" s="321"/>
      <c r="G79" s="321"/>
    </row>
    <row r="80" spans="1:7" x14ac:dyDescent="0.3">
      <c r="A80" s="295"/>
      <c r="B80" s="321"/>
      <c r="C80" s="322"/>
      <c r="D80" s="322"/>
      <c r="E80" s="321"/>
      <c r="F80" s="321"/>
      <c r="G80" s="321"/>
    </row>
    <row r="81" spans="1:7" x14ac:dyDescent="0.3">
      <c r="A81" s="295"/>
      <c r="B81" s="321"/>
      <c r="C81" s="322"/>
      <c r="D81" s="322"/>
      <c r="E81" s="321"/>
      <c r="F81" s="321"/>
      <c r="G81" s="321"/>
    </row>
    <row r="82" spans="1:7" x14ac:dyDescent="0.3">
      <c r="A82" s="295"/>
      <c r="B82" s="321"/>
      <c r="C82" s="322"/>
      <c r="D82" s="322"/>
      <c r="E82" s="321"/>
      <c r="F82" s="321"/>
      <c r="G82" s="321"/>
    </row>
    <row r="83" spans="1:7" x14ac:dyDescent="0.3">
      <c r="A83" s="295"/>
      <c r="B83" s="321"/>
      <c r="C83" s="322"/>
      <c r="D83" s="322"/>
      <c r="E83" s="321"/>
      <c r="F83" s="321"/>
      <c r="G83" s="321"/>
    </row>
    <row r="84" spans="1:7" x14ac:dyDescent="0.3">
      <c r="A84" s="295"/>
      <c r="B84" s="321"/>
      <c r="C84" s="322"/>
      <c r="D84" s="322"/>
      <c r="E84" s="321"/>
      <c r="F84" s="321"/>
      <c r="G84" s="321"/>
    </row>
    <row r="85" spans="1:7" x14ac:dyDescent="0.3">
      <c r="A85" s="295"/>
      <c r="B85" s="321"/>
      <c r="C85" s="322"/>
      <c r="D85" s="322"/>
      <c r="E85" s="321"/>
      <c r="F85" s="321"/>
      <c r="G85" s="321"/>
    </row>
    <row r="86" spans="1:7" x14ac:dyDescent="0.3">
      <c r="A86" s="295"/>
      <c r="B86" s="321"/>
      <c r="C86" s="322"/>
      <c r="D86" s="322"/>
      <c r="E86" s="321"/>
      <c r="F86" s="321"/>
      <c r="G86" s="321"/>
    </row>
    <row r="87" spans="1:7" x14ac:dyDescent="0.3">
      <c r="A87" s="295"/>
      <c r="B87" s="321"/>
      <c r="C87" s="322"/>
      <c r="D87" s="322"/>
      <c r="E87" s="321"/>
      <c r="F87" s="321"/>
      <c r="G87" s="321"/>
    </row>
    <row r="88" spans="1:7" x14ac:dyDescent="0.3">
      <c r="A88" s="295"/>
      <c r="B88" s="321"/>
      <c r="C88" s="322"/>
      <c r="D88" s="322"/>
      <c r="E88" s="321"/>
      <c r="F88" s="321"/>
      <c r="G88" s="321"/>
    </row>
    <row r="89" spans="1:7" x14ac:dyDescent="0.3">
      <c r="A89" s="295"/>
      <c r="B89" s="321"/>
      <c r="C89" s="322"/>
      <c r="D89" s="322"/>
      <c r="E89" s="321"/>
      <c r="F89" s="321"/>
      <c r="G89" s="321"/>
    </row>
    <row r="90" spans="1:7" x14ac:dyDescent="0.3">
      <c r="A90" s="295"/>
      <c r="B90" s="321"/>
      <c r="C90" s="322"/>
      <c r="D90" s="322"/>
      <c r="E90" s="321"/>
      <c r="F90" s="321"/>
      <c r="G90" s="321"/>
    </row>
    <row r="91" spans="1:7" x14ac:dyDescent="0.3">
      <c r="A91" s="366" t="s">
        <v>420</v>
      </c>
      <c r="B91" s="321"/>
      <c r="C91" s="322"/>
      <c r="D91" s="322"/>
      <c r="E91" s="321"/>
      <c r="F91" s="321"/>
      <c r="G91" s="321"/>
    </row>
    <row r="92" spans="1:7" x14ac:dyDescent="0.3">
      <c r="A92" s="295"/>
      <c r="B92" s="321"/>
      <c r="C92" s="322"/>
      <c r="D92" s="322"/>
      <c r="E92" s="321"/>
      <c r="F92" s="321"/>
      <c r="G92" s="321"/>
    </row>
    <row r="93" spans="1:7" x14ac:dyDescent="0.3">
      <c r="A93" s="295"/>
      <c r="B93" s="321"/>
      <c r="C93" s="322"/>
      <c r="D93" s="322"/>
      <c r="E93" s="321"/>
      <c r="F93" s="321"/>
      <c r="G93" s="321"/>
    </row>
    <row r="94" spans="1:7" x14ac:dyDescent="0.3">
      <c r="A94" s="295"/>
      <c r="B94" s="321"/>
      <c r="C94" s="322"/>
      <c r="D94" s="322"/>
      <c r="E94" s="321"/>
      <c r="F94" s="321"/>
      <c r="G94" s="321"/>
    </row>
    <row r="95" spans="1:7" x14ac:dyDescent="0.3">
      <c r="A95" s="295"/>
      <c r="B95" s="321"/>
      <c r="C95" s="322"/>
      <c r="D95" s="322"/>
      <c r="E95" s="321"/>
      <c r="F95" s="321"/>
      <c r="G95" s="321"/>
    </row>
    <row r="96" spans="1:7" x14ac:dyDescent="0.3">
      <c r="A96" s="295"/>
      <c r="B96" s="321"/>
      <c r="C96" s="322"/>
      <c r="D96" s="322"/>
      <c r="E96" s="321"/>
      <c r="F96" s="321"/>
      <c r="G96" s="321"/>
    </row>
    <row r="97" spans="1:7" x14ac:dyDescent="0.3">
      <c r="A97" s="295"/>
      <c r="B97" s="321"/>
      <c r="C97" s="322"/>
      <c r="D97" s="322"/>
      <c r="E97" s="321"/>
      <c r="F97" s="321"/>
      <c r="G97" s="321"/>
    </row>
    <row r="98" spans="1:7" ht="12.75" customHeight="1" x14ac:dyDescent="0.3">
      <c r="A98" s="295"/>
      <c r="B98" s="321"/>
      <c r="C98" s="322"/>
      <c r="D98" s="322"/>
      <c r="E98" s="321"/>
      <c r="F98" s="321"/>
      <c r="G98" s="321"/>
    </row>
    <row r="99" spans="1:7" ht="12.75" customHeight="1" x14ac:dyDescent="0.3">
      <c r="A99" s="295"/>
      <c r="B99" s="321"/>
      <c r="C99" s="322"/>
      <c r="D99" s="322"/>
      <c r="E99" s="321"/>
      <c r="F99" s="321"/>
      <c r="G99" s="321"/>
    </row>
    <row r="100" spans="1:7" ht="12.75" customHeight="1" x14ac:dyDescent="0.3">
      <c r="A100" s="295"/>
      <c r="B100" s="321"/>
      <c r="C100" s="322"/>
      <c r="D100" s="322"/>
      <c r="E100" s="321"/>
      <c r="F100" s="321"/>
      <c r="G100" s="321"/>
    </row>
    <row r="101" spans="1:7" ht="12.75" customHeight="1" x14ac:dyDescent="0.3"/>
    <row r="102" spans="1:7" ht="12.75" customHeight="1" x14ac:dyDescent="0.3"/>
    <row r="103" spans="1:7" ht="12.75" customHeight="1" x14ac:dyDescent="0.3"/>
    <row r="104" spans="1:7" ht="12.75" customHeight="1" x14ac:dyDescent="0.3"/>
    <row r="105" spans="1:7" ht="12.75" customHeight="1" x14ac:dyDescent="0.3"/>
    <row r="106" spans="1:7" ht="12.75" customHeight="1" x14ac:dyDescent="0.3"/>
    <row r="107" spans="1:7" ht="12.75" customHeight="1" x14ac:dyDescent="0.3"/>
    <row r="108" spans="1:7" ht="12.75" customHeight="1" x14ac:dyDescent="0.3">
      <c r="C108" s="9" t="s">
        <v>335</v>
      </c>
    </row>
    <row r="109" spans="1:7" ht="12.75" customHeight="1" x14ac:dyDescent="0.3"/>
    <row r="110" spans="1:7" ht="12.75" customHeight="1" x14ac:dyDescent="0.3"/>
    <row r="111" spans="1:7" ht="12.75" customHeight="1" x14ac:dyDescent="0.3"/>
  </sheetData>
  <mergeCells count="19">
    <mergeCell ref="F66:G66"/>
    <mergeCell ref="G8:G9"/>
    <mergeCell ref="A7:G7"/>
    <mergeCell ref="A8:C9"/>
    <mergeCell ref="D8:F8"/>
    <mergeCell ref="A10:C10"/>
    <mergeCell ref="A11:C11"/>
    <mergeCell ref="A12:C12"/>
    <mergeCell ref="A13:C13"/>
    <mergeCell ref="E34:F34"/>
    <mergeCell ref="E35:F35"/>
    <mergeCell ref="E36:F36"/>
    <mergeCell ref="A4:F4"/>
    <mergeCell ref="A29:A30"/>
    <mergeCell ref="B29:D29"/>
    <mergeCell ref="A14:C14"/>
    <mergeCell ref="A15:C15"/>
    <mergeCell ref="A27:G28"/>
    <mergeCell ref="E29:F29"/>
  </mergeCells>
  <hyperlinks>
    <hyperlink ref="A4:F4" location="СОДЕРЖАНИЕ!A1" display="вернуться в содержание"/>
    <hyperlink ref="B4" location="СОДЕРЖАНИЕ!A1" display="вернуться в содержание"/>
  </hyperlinks>
  <pageMargins left="0.25" right="0.25" top="0.75" bottom="0.75" header="0.3" footer="0.3"/>
  <pageSetup paperSize="9" scale="95" orientation="portrait" r:id="rId1"/>
  <rowBreaks count="1" manualBreakCount="1">
    <brk id="46" max="6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"/>
  <sheetViews>
    <sheetView zoomScale="96" zoomScaleNormal="96" zoomScaleSheetLayoutView="106" workbookViewId="0">
      <selection activeCell="A17" sqref="A17:G33"/>
    </sheetView>
  </sheetViews>
  <sheetFormatPr defaultRowHeight="14.4" x14ac:dyDescent="0.3"/>
  <cols>
    <col min="1" max="1" width="24.33203125" customWidth="1"/>
    <col min="2" max="2" width="9.6640625" customWidth="1"/>
    <col min="3" max="4" width="9.6640625" style="1" customWidth="1"/>
    <col min="5" max="5" width="16.6640625" customWidth="1"/>
    <col min="6" max="6" width="10.5546875" customWidth="1"/>
    <col min="7" max="7" width="15.88671875" customWidth="1"/>
    <col min="8" max="8" width="3.5546875" bestFit="1" customWidth="1"/>
    <col min="18" max="18" width="12.88671875" customWidth="1"/>
  </cols>
  <sheetData>
    <row r="1" spans="1:9" s="58" customFormat="1" ht="18.75" customHeight="1" x14ac:dyDescent="0.3">
      <c r="A1" s="91"/>
      <c r="B1" s="41"/>
      <c r="E1" s="41"/>
      <c r="G1" s="214" t="str">
        <f>СОДЕРЖАНИЕ!I2</f>
        <v>Прайс-лист на изделия из ПВХ от 02.12.2024</v>
      </c>
    </row>
    <row r="2" spans="1:9" ht="24.75" customHeight="1" x14ac:dyDescent="0.3">
      <c r="A2" s="57"/>
      <c r="B2" s="41"/>
      <c r="C2" s="41"/>
      <c r="D2" s="41"/>
      <c r="E2" s="41"/>
      <c r="F2" s="41"/>
      <c r="G2" s="41"/>
      <c r="H2" s="41"/>
      <c r="I2" s="274" t="s">
        <v>333</v>
      </c>
    </row>
    <row r="3" spans="1:9" ht="19.5" customHeight="1" x14ac:dyDescent="0.3">
      <c r="A3" s="57"/>
      <c r="B3" s="57"/>
      <c r="C3" s="57"/>
      <c r="D3" s="57"/>
      <c r="E3" s="57"/>
      <c r="F3" s="57"/>
    </row>
    <row r="4" spans="1:9" s="58" customFormat="1" ht="24" customHeight="1" x14ac:dyDescent="0.3">
      <c r="A4" s="463" t="s">
        <v>71</v>
      </c>
      <c r="B4" s="463"/>
      <c r="C4" s="463"/>
      <c r="D4" s="463"/>
      <c r="E4" s="463"/>
      <c r="F4" s="463"/>
    </row>
    <row r="5" spans="1:9" ht="19.5" customHeight="1" x14ac:dyDescent="0.3">
      <c r="A5" s="259" t="s">
        <v>304</v>
      </c>
      <c r="B5" s="259"/>
      <c r="C5" s="259"/>
      <c r="D5" s="259"/>
      <c r="E5" s="259"/>
      <c r="F5" s="259"/>
      <c r="G5" s="259"/>
      <c r="H5" s="58"/>
    </row>
    <row r="6" spans="1:9" ht="38.25" customHeight="1" x14ac:dyDescent="0.3">
      <c r="A6" s="258"/>
      <c r="B6" s="258"/>
      <c r="C6" s="258"/>
      <c r="D6" s="258"/>
      <c r="E6" s="258"/>
      <c r="F6" s="258"/>
      <c r="G6" s="258"/>
      <c r="H6" s="58"/>
    </row>
    <row r="7" spans="1:9" ht="15.6" customHeight="1" x14ac:dyDescent="0.3">
      <c r="A7" s="408" t="s">
        <v>344</v>
      </c>
      <c r="B7" s="409"/>
      <c r="C7" s="409"/>
      <c r="D7" s="409"/>
      <c r="E7" s="409"/>
      <c r="F7" s="409"/>
      <c r="G7" s="409"/>
      <c r="H7" s="148"/>
    </row>
    <row r="8" spans="1:9" ht="15.6" customHeight="1" x14ac:dyDescent="0.3">
      <c r="A8" s="374" t="s">
        <v>189</v>
      </c>
      <c r="B8" s="374"/>
      <c r="C8" s="374"/>
      <c r="D8" s="468" t="s">
        <v>332</v>
      </c>
      <c r="E8" s="469"/>
      <c r="F8" s="470"/>
      <c r="G8" s="466" t="s">
        <v>326</v>
      </c>
      <c r="H8" s="148"/>
    </row>
    <row r="9" spans="1:9" s="252" customFormat="1" x14ac:dyDescent="0.3">
      <c r="A9" s="374"/>
      <c r="B9" s="374"/>
      <c r="C9" s="374"/>
      <c r="D9" s="234" t="s">
        <v>339</v>
      </c>
      <c r="E9" s="234" t="s">
        <v>330</v>
      </c>
      <c r="F9" s="234" t="s">
        <v>331</v>
      </c>
      <c r="G9" s="467"/>
      <c r="H9" s="148"/>
    </row>
    <row r="10" spans="1:9" ht="13.5" customHeight="1" x14ac:dyDescent="0.3">
      <c r="A10" s="488" t="s">
        <v>328</v>
      </c>
      <c r="B10" s="488"/>
      <c r="C10" s="488"/>
      <c r="D10" s="282" t="s">
        <v>340</v>
      </c>
      <c r="E10" s="282" t="s">
        <v>341</v>
      </c>
      <c r="F10" s="282">
        <v>10.5</v>
      </c>
      <c r="G10" s="243">
        <v>4500</v>
      </c>
      <c r="H10" s="266"/>
      <c r="I10" s="266"/>
    </row>
    <row r="11" spans="1:9" x14ac:dyDescent="0.3">
      <c r="A11" s="489" t="s">
        <v>336</v>
      </c>
      <c r="B11" s="489"/>
      <c r="C11" s="489"/>
      <c r="D11" s="269"/>
      <c r="E11" s="270"/>
      <c r="F11" s="270"/>
      <c r="G11" s="269"/>
      <c r="H11" s="267"/>
      <c r="I11" s="274" t="s">
        <v>334</v>
      </c>
    </row>
    <row r="12" spans="1:9" x14ac:dyDescent="0.3">
      <c r="A12" s="490" t="s">
        <v>312</v>
      </c>
      <c r="B12" s="490"/>
      <c r="C12" s="490"/>
      <c r="D12" s="262">
        <v>2050</v>
      </c>
      <c r="E12" s="263">
        <v>25</v>
      </c>
      <c r="F12" s="263">
        <v>4</v>
      </c>
      <c r="G12" s="243">
        <v>150</v>
      </c>
    </row>
    <row r="13" spans="1:9" x14ac:dyDescent="0.3">
      <c r="A13" s="490" t="s">
        <v>342</v>
      </c>
      <c r="B13" s="490"/>
      <c r="C13" s="490"/>
      <c r="D13" s="262">
        <v>2050</v>
      </c>
      <c r="E13" s="263">
        <v>45</v>
      </c>
      <c r="F13" s="263">
        <v>4.5</v>
      </c>
      <c r="G13" s="243">
        <v>450</v>
      </c>
    </row>
    <row r="14" spans="1:9" x14ac:dyDescent="0.3">
      <c r="A14" s="489" t="s">
        <v>337</v>
      </c>
      <c r="B14" s="489"/>
      <c r="C14" s="489"/>
      <c r="D14" s="269"/>
      <c r="E14" s="270"/>
      <c r="F14" s="270"/>
      <c r="G14" s="269"/>
    </row>
    <row r="15" spans="1:9" x14ac:dyDescent="0.3">
      <c r="A15" s="489" t="s">
        <v>338</v>
      </c>
      <c r="B15" s="489"/>
      <c r="C15" s="489"/>
      <c r="D15" s="269"/>
      <c r="E15" s="270"/>
      <c r="F15" s="270"/>
      <c r="G15" s="269"/>
    </row>
    <row r="16" spans="1:9" ht="13.5" customHeight="1" x14ac:dyDescent="0.3">
      <c r="A16" s="148"/>
      <c r="B16" s="148"/>
      <c r="C16" s="148"/>
      <c r="D16" s="148"/>
      <c r="E16" s="148"/>
      <c r="F16" s="148"/>
      <c r="G16" s="148"/>
      <c r="H16" s="148"/>
      <c r="I16" s="148"/>
    </row>
    <row r="17" spans="1:9" ht="13.5" customHeight="1" x14ac:dyDescent="0.3">
      <c r="A17" s="472" t="s">
        <v>345</v>
      </c>
      <c r="B17" s="472"/>
      <c r="C17" s="472"/>
      <c r="D17" s="472"/>
      <c r="E17" s="472"/>
      <c r="F17" s="472"/>
      <c r="G17" s="472"/>
      <c r="H17" s="264"/>
      <c r="I17" s="148"/>
    </row>
    <row r="18" spans="1:9" ht="15.6" customHeight="1" x14ac:dyDescent="0.3">
      <c r="A18" s="473"/>
      <c r="B18" s="473"/>
      <c r="C18" s="473"/>
      <c r="D18" s="473"/>
      <c r="E18" s="473"/>
      <c r="F18" s="473"/>
      <c r="G18" s="473"/>
      <c r="H18" s="264"/>
    </row>
    <row r="19" spans="1:9" ht="15.6" customHeight="1" x14ac:dyDescent="0.3">
      <c r="A19" s="466" t="s">
        <v>189</v>
      </c>
      <c r="B19" s="468" t="s">
        <v>332</v>
      </c>
      <c r="C19" s="469"/>
      <c r="D19" s="470"/>
      <c r="E19" s="481" t="s">
        <v>329</v>
      </c>
      <c r="F19" s="482"/>
      <c r="G19" s="482"/>
      <c r="H19" s="264"/>
    </row>
    <row r="20" spans="1:9" ht="24.75" customHeight="1" x14ac:dyDescent="0.3">
      <c r="A20" s="467"/>
      <c r="B20" s="260" t="s">
        <v>339</v>
      </c>
      <c r="C20" s="260" t="s">
        <v>330</v>
      </c>
      <c r="D20" s="260" t="s">
        <v>331</v>
      </c>
      <c r="E20" s="281" t="s">
        <v>354</v>
      </c>
      <c r="F20" s="281" t="s">
        <v>355</v>
      </c>
      <c r="G20" s="281" t="s">
        <v>356</v>
      </c>
      <c r="H20" s="264"/>
    </row>
    <row r="21" spans="1:9" ht="22.8" x14ac:dyDescent="0.3">
      <c r="A21" s="271" t="s">
        <v>351</v>
      </c>
      <c r="B21" s="272">
        <v>500</v>
      </c>
      <c r="C21" s="272">
        <v>500</v>
      </c>
      <c r="D21" s="272">
        <v>10</v>
      </c>
      <c r="E21" s="273">
        <v>1050</v>
      </c>
      <c r="F21" s="273">
        <f>E21</f>
        <v>1050</v>
      </c>
      <c r="G21" s="273">
        <f>E21*1.3</f>
        <v>1365</v>
      </c>
      <c r="H21" s="264"/>
    </row>
    <row r="22" spans="1:9" ht="27" customHeight="1" x14ac:dyDescent="0.3">
      <c r="A22" s="271" t="s">
        <v>353</v>
      </c>
      <c r="B22" s="272">
        <v>1100</v>
      </c>
      <c r="C22" s="272">
        <v>500</v>
      </c>
      <c r="D22" s="272">
        <v>10</v>
      </c>
      <c r="E22" s="273">
        <v>2200</v>
      </c>
      <c r="F22" s="273"/>
      <c r="G22" s="273"/>
      <c r="H22" s="264"/>
    </row>
    <row r="23" spans="1:9" ht="29.25" customHeight="1" x14ac:dyDescent="0.3">
      <c r="A23" s="271" t="s">
        <v>352</v>
      </c>
      <c r="B23" s="272">
        <v>2700</v>
      </c>
      <c r="C23" s="272">
        <v>300</v>
      </c>
      <c r="D23" s="272">
        <v>10</v>
      </c>
      <c r="E23" s="273">
        <v>3250</v>
      </c>
      <c r="F23" s="273"/>
      <c r="G23" s="273"/>
      <c r="H23" s="264"/>
    </row>
    <row r="24" spans="1:9" x14ac:dyDescent="0.3">
      <c r="A24" s="149"/>
      <c r="B24" s="149"/>
      <c r="C24" s="149"/>
      <c r="D24" s="149"/>
      <c r="E24" s="149"/>
      <c r="F24" s="149"/>
      <c r="G24" s="149"/>
      <c r="H24" s="264"/>
    </row>
    <row r="25" spans="1:9" ht="22.5" customHeight="1" x14ac:dyDescent="0.3">
      <c r="A25" s="232" t="s">
        <v>294</v>
      </c>
      <c r="B25" s="149"/>
      <c r="C25" s="215"/>
      <c r="D25" s="215"/>
      <c r="E25" s="149"/>
      <c r="F25" s="149"/>
      <c r="G25" s="257"/>
      <c r="H25" s="257"/>
      <c r="I25" s="274" t="s">
        <v>335</v>
      </c>
    </row>
    <row r="26" spans="1:9" s="255" customFormat="1" x14ac:dyDescent="0.3">
      <c r="A26" s="268" t="s">
        <v>343</v>
      </c>
      <c r="B26" s="253"/>
      <c r="C26" s="253"/>
      <c r="D26" s="253"/>
      <c r="E26" s="253"/>
      <c r="F26" s="253"/>
      <c r="G26" s="254"/>
      <c r="H26" s="254"/>
    </row>
    <row r="27" spans="1:9" s="255" customFormat="1" x14ac:dyDescent="0.3">
      <c r="A27" s="268" t="s">
        <v>295</v>
      </c>
      <c r="B27" s="253"/>
      <c r="C27" s="253"/>
      <c r="D27" s="253"/>
      <c r="E27" s="253"/>
      <c r="F27" s="253"/>
      <c r="G27" s="254"/>
      <c r="H27" s="254"/>
    </row>
    <row r="28" spans="1:9" s="255" customFormat="1" x14ac:dyDescent="0.3">
      <c r="A28" s="268" t="s">
        <v>357</v>
      </c>
      <c r="B28" s="253"/>
      <c r="C28" s="253"/>
      <c r="D28" s="253"/>
      <c r="E28" s="253"/>
      <c r="F28" s="253"/>
      <c r="G28" s="254"/>
      <c r="H28" s="254"/>
    </row>
    <row r="29" spans="1:9" x14ac:dyDescent="0.3">
      <c r="A29" s="268" t="s">
        <v>370</v>
      </c>
    </row>
    <row r="30" spans="1:9" s="255" customFormat="1" ht="15.75" customHeight="1" x14ac:dyDescent="0.3">
      <c r="A30" s="268" t="s">
        <v>371</v>
      </c>
      <c r="B30" s="253"/>
      <c r="C30" s="253"/>
      <c r="D30" s="253"/>
      <c r="E30" s="253"/>
      <c r="F30" s="253"/>
      <c r="G30" s="254"/>
      <c r="H30" s="254"/>
    </row>
    <row r="31" spans="1:9" s="255" customFormat="1" x14ac:dyDescent="0.3">
      <c r="A31" s="268" t="s">
        <v>372</v>
      </c>
      <c r="B31" s="261"/>
      <c r="C31" s="261"/>
      <c r="D31" s="261"/>
      <c r="E31" s="261"/>
      <c r="F31" s="261"/>
      <c r="G31" s="261"/>
      <c r="H31" s="261"/>
    </row>
    <row r="32" spans="1:9" s="255" customFormat="1" ht="15.75" customHeight="1" x14ac:dyDescent="0.3">
      <c r="A32" s="268" t="s">
        <v>373</v>
      </c>
      <c r="B32" s="261"/>
      <c r="C32" s="261"/>
      <c r="D32" s="261"/>
      <c r="E32" s="261"/>
      <c r="F32" s="261"/>
      <c r="G32" s="261"/>
      <c r="H32" s="261"/>
    </row>
    <row r="33" spans="1:7" x14ac:dyDescent="0.3">
      <c r="A33" s="268" t="s">
        <v>374</v>
      </c>
    </row>
    <row r="34" spans="1:7" x14ac:dyDescent="0.3">
      <c r="A34" s="253"/>
    </row>
    <row r="35" spans="1:7" x14ac:dyDescent="0.3">
      <c r="A35" s="253"/>
    </row>
    <row r="36" spans="1:7" x14ac:dyDescent="0.3">
      <c r="A36" s="253"/>
    </row>
    <row r="37" spans="1:7" x14ac:dyDescent="0.3">
      <c r="A37" s="253"/>
    </row>
    <row r="38" spans="1:7" x14ac:dyDescent="0.3">
      <c r="A38" s="253"/>
    </row>
    <row r="39" spans="1:7" x14ac:dyDescent="0.3">
      <c r="A39" s="253"/>
    </row>
    <row r="41" spans="1:7" ht="15.6" x14ac:dyDescent="0.3">
      <c r="A41" s="483" t="s">
        <v>305</v>
      </c>
      <c r="B41" s="484"/>
      <c r="C41" s="484"/>
      <c r="D41" s="484"/>
      <c r="E41" s="484"/>
      <c r="F41" s="484"/>
      <c r="G41" s="484"/>
    </row>
    <row r="42" spans="1:7" x14ac:dyDescent="0.3">
      <c r="A42" s="275"/>
      <c r="B42" s="275"/>
      <c r="C42" s="276"/>
      <c r="D42" s="276"/>
      <c r="E42" s="275"/>
      <c r="F42" s="275"/>
      <c r="G42" s="275"/>
    </row>
    <row r="43" spans="1:7" ht="26.4" x14ac:dyDescent="0.3">
      <c r="A43" s="485" t="s">
        <v>293</v>
      </c>
      <c r="B43" s="486"/>
      <c r="C43" s="487"/>
      <c r="D43" s="279" t="s">
        <v>358</v>
      </c>
      <c r="E43" s="485" t="s">
        <v>306</v>
      </c>
      <c r="F43" s="487"/>
      <c r="G43" s="280" t="s">
        <v>68</v>
      </c>
    </row>
    <row r="44" spans="1:7" s="154" customFormat="1" ht="126.75" customHeight="1" x14ac:dyDescent="0.3">
      <c r="A44" s="277"/>
      <c r="B44" s="479" t="s">
        <v>346</v>
      </c>
      <c r="C44" s="479"/>
      <c r="D44" s="283">
        <v>3000</v>
      </c>
      <c r="E44" s="480" t="s">
        <v>307</v>
      </c>
      <c r="F44" s="480"/>
      <c r="G44" s="278">
        <v>2650</v>
      </c>
    </row>
    <row r="45" spans="1:7" s="154" customFormat="1" ht="126.75" customHeight="1" x14ac:dyDescent="0.3">
      <c r="A45" s="277"/>
      <c r="B45" s="479" t="s">
        <v>347</v>
      </c>
      <c r="C45" s="479"/>
      <c r="D45" s="283">
        <v>3000</v>
      </c>
      <c r="E45" s="480" t="s">
        <v>308</v>
      </c>
      <c r="F45" s="480"/>
      <c r="G45" s="278">
        <v>4050</v>
      </c>
    </row>
    <row r="46" spans="1:7" s="154" customFormat="1" ht="126.75" customHeight="1" x14ac:dyDescent="0.3">
      <c r="A46" s="277"/>
      <c r="B46" s="479" t="s">
        <v>348</v>
      </c>
      <c r="C46" s="479"/>
      <c r="D46" s="283">
        <v>3000</v>
      </c>
      <c r="E46" s="480" t="s">
        <v>349</v>
      </c>
      <c r="F46" s="480"/>
      <c r="G46" s="278">
        <v>2650</v>
      </c>
    </row>
    <row r="47" spans="1:7" s="154" customFormat="1" ht="126.75" customHeight="1" x14ac:dyDescent="0.3">
      <c r="A47" s="277"/>
      <c r="B47" s="479" t="s">
        <v>350</v>
      </c>
      <c r="C47" s="479"/>
      <c r="D47" s="283" t="s">
        <v>309</v>
      </c>
      <c r="E47" s="480" t="s">
        <v>310</v>
      </c>
      <c r="F47" s="480"/>
      <c r="G47" s="278">
        <v>2950</v>
      </c>
    </row>
    <row r="48" spans="1:7" s="265" customFormat="1" ht="126.75" customHeight="1" x14ac:dyDescent="0.3">
      <c r="A48" s="277"/>
      <c r="B48" s="479" t="s">
        <v>350</v>
      </c>
      <c r="C48" s="479"/>
      <c r="D48" s="283" t="s">
        <v>311</v>
      </c>
      <c r="E48" s="480" t="s">
        <v>310</v>
      </c>
      <c r="F48" s="480"/>
      <c r="G48" s="278">
        <v>2500</v>
      </c>
    </row>
    <row r="54" ht="15.75" customHeight="1" x14ac:dyDescent="0.3"/>
    <row r="56" ht="15.75" customHeight="1" x14ac:dyDescent="0.3"/>
    <row r="58" ht="15.75" customHeight="1" x14ac:dyDescent="0.3"/>
    <row r="60" ht="15" customHeight="1" x14ac:dyDescent="0.3"/>
    <row r="64" ht="56.25" customHeight="1" x14ac:dyDescent="0.3"/>
    <row r="65" ht="56.25" customHeight="1" x14ac:dyDescent="0.3"/>
    <row r="66" ht="56.25" customHeight="1" x14ac:dyDescent="0.3"/>
    <row r="67" ht="56.25" customHeight="1" x14ac:dyDescent="0.3"/>
    <row r="68" ht="56.25" customHeight="1" x14ac:dyDescent="0.3"/>
    <row r="69" ht="56.25" customHeight="1" x14ac:dyDescent="0.3"/>
    <row r="70" ht="56.25" customHeight="1" x14ac:dyDescent="0.3"/>
    <row r="71" ht="56.25" customHeight="1" x14ac:dyDescent="0.3"/>
    <row r="72" ht="56.25" customHeight="1" x14ac:dyDescent="0.3"/>
    <row r="73" ht="56.25" customHeight="1" x14ac:dyDescent="0.3"/>
  </sheetData>
  <mergeCells count="28">
    <mergeCell ref="A17:G18"/>
    <mergeCell ref="A4:F4"/>
    <mergeCell ref="A7:G7"/>
    <mergeCell ref="A8:C9"/>
    <mergeCell ref="D8:F8"/>
    <mergeCell ref="G8:G9"/>
    <mergeCell ref="A10:C10"/>
    <mergeCell ref="A11:C11"/>
    <mergeCell ref="A12:C12"/>
    <mergeCell ref="A13:C13"/>
    <mergeCell ref="A14:C14"/>
    <mergeCell ref="A15:C15"/>
    <mergeCell ref="A19:A20"/>
    <mergeCell ref="B19:D19"/>
    <mergeCell ref="E19:G19"/>
    <mergeCell ref="A41:G41"/>
    <mergeCell ref="A43:C43"/>
    <mergeCell ref="E43:F43"/>
    <mergeCell ref="B47:C47"/>
    <mergeCell ref="E47:F47"/>
    <mergeCell ref="B48:C48"/>
    <mergeCell ref="E48:F48"/>
    <mergeCell ref="B44:C44"/>
    <mergeCell ref="E44:F44"/>
    <mergeCell ref="B45:C45"/>
    <mergeCell ref="E45:F45"/>
    <mergeCell ref="B46:C46"/>
    <mergeCell ref="E46:F46"/>
  </mergeCells>
  <hyperlinks>
    <hyperlink ref="A4:F4" location="СОДЕРЖАНИЕ!A1" display="вернуться в содержание"/>
    <hyperlink ref="B4" location="СОДЕРЖАНИЕ!A1" display="вернуться в содержание"/>
  </hyperlinks>
  <pageMargins left="0.25" right="0.25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view="pageBreakPreview" zoomScaleNormal="100" zoomScaleSheetLayoutView="100" workbookViewId="0">
      <selection activeCell="R29" sqref="R29"/>
    </sheetView>
  </sheetViews>
  <sheetFormatPr defaultRowHeight="14.4" x14ac:dyDescent="0.3"/>
  <cols>
    <col min="2" max="2" width="22.6640625" customWidth="1"/>
    <col min="3" max="3" width="19.5546875" customWidth="1"/>
  </cols>
  <sheetData>
    <row r="1" spans="1:7" x14ac:dyDescent="0.3">
      <c r="A1" s="134" t="s">
        <v>71</v>
      </c>
      <c r="B1" s="134"/>
      <c r="C1" s="134"/>
      <c r="D1" s="134"/>
      <c r="E1" s="134"/>
      <c r="F1" s="134"/>
      <c r="G1" s="134"/>
    </row>
    <row r="3" spans="1:7" x14ac:dyDescent="0.3">
      <c r="B3" s="49" t="s">
        <v>72</v>
      </c>
    </row>
    <row r="5" spans="1:7" x14ac:dyDescent="0.3">
      <c r="A5">
        <v>1</v>
      </c>
      <c r="B5" t="s">
        <v>61</v>
      </c>
    </row>
    <row r="6" spans="1:7" x14ac:dyDescent="0.3">
      <c r="B6" s="51" t="s">
        <v>73</v>
      </c>
      <c r="C6" s="51" t="s">
        <v>69</v>
      </c>
    </row>
    <row r="7" spans="1:7" x14ac:dyDescent="0.3">
      <c r="B7" s="50">
        <v>2000</v>
      </c>
      <c r="C7" s="50" t="s">
        <v>70</v>
      </c>
    </row>
    <row r="8" spans="1:7" x14ac:dyDescent="0.3">
      <c r="B8" s="45">
        <v>2100</v>
      </c>
      <c r="C8" s="47">
        <v>0.1</v>
      </c>
    </row>
    <row r="9" spans="1:7" x14ac:dyDescent="0.3">
      <c r="B9" s="45">
        <v>2200</v>
      </c>
      <c r="C9" s="47">
        <v>0.2</v>
      </c>
    </row>
    <row r="10" spans="1:7" x14ac:dyDescent="0.3">
      <c r="B10" s="45">
        <v>2300</v>
      </c>
      <c r="C10" s="47">
        <v>0.3</v>
      </c>
    </row>
    <row r="11" spans="1:7" x14ac:dyDescent="0.3">
      <c r="B11" s="302">
        <v>2400</v>
      </c>
      <c r="C11" s="47">
        <v>0.4</v>
      </c>
    </row>
    <row r="13" spans="1:7" x14ac:dyDescent="0.3">
      <c r="B13" s="51" t="s">
        <v>74</v>
      </c>
      <c r="C13" s="51" t="s">
        <v>69</v>
      </c>
    </row>
    <row r="14" spans="1:7" x14ac:dyDescent="0.3">
      <c r="B14" s="50" t="s">
        <v>75</v>
      </c>
      <c r="C14" s="50" t="s">
        <v>70</v>
      </c>
    </row>
    <row r="15" spans="1:7" x14ac:dyDescent="0.3">
      <c r="B15" s="45">
        <v>900</v>
      </c>
      <c r="C15" s="47">
        <v>0.1</v>
      </c>
    </row>
    <row r="16" spans="1:7" x14ac:dyDescent="0.3">
      <c r="B16" s="45">
        <v>1000</v>
      </c>
      <c r="C16" s="47">
        <v>0.2</v>
      </c>
    </row>
    <row r="18" spans="1:3" x14ac:dyDescent="0.3">
      <c r="B18" s="51" t="s">
        <v>76</v>
      </c>
      <c r="C18" s="51" t="s">
        <v>69</v>
      </c>
    </row>
    <row r="19" spans="1:3" x14ac:dyDescent="0.3">
      <c r="B19" s="50">
        <v>100</v>
      </c>
      <c r="C19" s="50" t="s">
        <v>70</v>
      </c>
    </row>
    <row r="20" spans="1:3" ht="22.8" x14ac:dyDescent="0.3">
      <c r="B20" s="45">
        <v>50</v>
      </c>
      <c r="C20" s="47" t="s">
        <v>77</v>
      </c>
    </row>
    <row r="22" spans="1:3" x14ac:dyDescent="0.3">
      <c r="A22">
        <v>2</v>
      </c>
      <c r="B22" t="s">
        <v>62</v>
      </c>
    </row>
    <row r="23" spans="1:3" x14ac:dyDescent="0.3">
      <c r="B23" s="52" t="s">
        <v>131</v>
      </c>
      <c r="C23" s="52" t="s">
        <v>69</v>
      </c>
    </row>
    <row r="24" spans="1:3" x14ac:dyDescent="0.3">
      <c r="B24" s="50">
        <v>2000</v>
      </c>
      <c r="C24" s="50" t="s">
        <v>70</v>
      </c>
    </row>
    <row r="25" spans="1:3" x14ac:dyDescent="0.3">
      <c r="B25" s="45">
        <v>2400</v>
      </c>
      <c r="C25" s="47">
        <v>0.1</v>
      </c>
    </row>
    <row r="26" spans="1:3" x14ac:dyDescent="0.3">
      <c r="B26" s="45">
        <v>2700</v>
      </c>
      <c r="C26" s="47">
        <v>0.3</v>
      </c>
    </row>
  </sheetData>
  <hyperlinks>
    <hyperlink ref="A1:G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view="pageBreakPreview" zoomScale="90" zoomScaleNormal="100" zoomScaleSheetLayoutView="90" workbookViewId="0">
      <pane xSplit="2" ySplit="4" topLeftCell="C5" activePane="bottomRight" state="frozen"/>
      <selection pane="topRight" activeCell="E1" sqref="E1"/>
      <selection pane="bottomLeft" activeCell="A3" sqref="A3"/>
      <selection pane="bottomRight" activeCell="M15" sqref="M15"/>
    </sheetView>
  </sheetViews>
  <sheetFormatPr defaultRowHeight="14.4" outlineLevelRow="1" x14ac:dyDescent="0.3"/>
  <cols>
    <col min="1" max="1" width="4" style="1" bestFit="1" customWidth="1"/>
    <col min="2" max="2" width="33.33203125" bestFit="1" customWidth="1"/>
    <col min="3" max="8" width="8.6640625" customWidth="1"/>
    <col min="9" max="9" width="9" customWidth="1"/>
    <col min="13" max="13" width="30.33203125" bestFit="1" customWidth="1"/>
  </cols>
  <sheetData>
    <row r="1" spans="1:13" x14ac:dyDescent="0.3">
      <c r="B1" s="368" t="s">
        <v>71</v>
      </c>
      <c r="C1" s="368"/>
      <c r="D1" s="368"/>
      <c r="E1" s="368"/>
      <c r="F1" s="368"/>
      <c r="G1" s="368"/>
      <c r="H1" s="368"/>
      <c r="J1" s="28"/>
      <c r="K1" s="2"/>
      <c r="L1" s="2"/>
      <c r="M1" s="5"/>
    </row>
    <row r="2" spans="1:13" x14ac:dyDescent="0.3">
      <c r="B2" t="s">
        <v>196</v>
      </c>
      <c r="J2" s="28"/>
      <c r="K2" s="2"/>
      <c r="L2" s="2"/>
      <c r="M2" s="5"/>
    </row>
    <row r="3" spans="1:13" ht="18" x14ac:dyDescent="0.35">
      <c r="B3" s="13" t="s">
        <v>128</v>
      </c>
      <c r="J3" s="28"/>
      <c r="K3" s="2"/>
      <c r="L3" s="2"/>
      <c r="M3" s="5"/>
    </row>
    <row r="4" spans="1:13" s="5" customFormat="1" x14ac:dyDescent="0.3">
      <c r="A4" s="12"/>
      <c r="B4" s="14"/>
      <c r="C4" s="14" t="s">
        <v>3</v>
      </c>
      <c r="D4" s="14" t="s">
        <v>15</v>
      </c>
      <c r="E4" s="15" t="s">
        <v>0</v>
      </c>
      <c r="F4" s="14" t="s">
        <v>1</v>
      </c>
      <c r="G4" s="14" t="s">
        <v>98</v>
      </c>
      <c r="H4" s="14" t="s">
        <v>2</v>
      </c>
      <c r="I4" s="28"/>
      <c r="J4" s="2"/>
      <c r="K4" s="2"/>
    </row>
    <row r="5" spans="1:13" s="11" customFormat="1" ht="15.6" x14ac:dyDescent="0.3">
      <c r="A5" s="9"/>
      <c r="B5" s="10" t="s">
        <v>4</v>
      </c>
      <c r="C5" s="17" t="s">
        <v>5</v>
      </c>
      <c r="D5" s="17" t="s">
        <v>5</v>
      </c>
      <c r="E5" s="17" t="s">
        <v>5</v>
      </c>
      <c r="F5" s="17" t="s">
        <v>5</v>
      </c>
      <c r="G5" s="17" t="s">
        <v>5</v>
      </c>
      <c r="H5" s="17" t="s">
        <v>5</v>
      </c>
      <c r="I5" s="2"/>
      <c r="J5" s="27"/>
      <c r="K5" s="27"/>
    </row>
    <row r="6" spans="1:13" s="2" customFormat="1" ht="15.6" outlineLevel="1" x14ac:dyDescent="0.3">
      <c r="A6" s="1">
        <v>1</v>
      </c>
      <c r="B6" s="6" t="s">
        <v>16</v>
      </c>
      <c r="C6" s="18" t="s">
        <v>5</v>
      </c>
      <c r="D6" s="18" t="s">
        <v>5</v>
      </c>
      <c r="E6" s="18" t="s">
        <v>5</v>
      </c>
      <c r="F6" s="18" t="s">
        <v>5</v>
      </c>
      <c r="G6" s="18" t="s">
        <v>5</v>
      </c>
      <c r="H6" s="18" t="s">
        <v>5</v>
      </c>
    </row>
    <row r="7" spans="1:13" s="2" customFormat="1" ht="15.6" outlineLevel="1" x14ac:dyDescent="0.3">
      <c r="A7" s="1">
        <v>2</v>
      </c>
      <c r="B7" s="6" t="s">
        <v>17</v>
      </c>
      <c r="C7" s="18" t="s">
        <v>5</v>
      </c>
      <c r="D7" s="18" t="s">
        <v>5</v>
      </c>
      <c r="E7" s="18" t="s">
        <v>5</v>
      </c>
      <c r="F7" s="18" t="s">
        <v>5</v>
      </c>
      <c r="G7" s="18" t="s">
        <v>5</v>
      </c>
      <c r="H7" s="18" t="s">
        <v>5</v>
      </c>
      <c r="J7" s="27"/>
      <c r="K7" s="27"/>
    </row>
    <row r="8" spans="1:13" s="2" customFormat="1" ht="15.6" outlineLevel="1" x14ac:dyDescent="0.3">
      <c r="A8" s="1">
        <v>3</v>
      </c>
      <c r="B8" s="7" t="s">
        <v>25</v>
      </c>
      <c r="C8" s="18" t="s">
        <v>5</v>
      </c>
      <c r="D8" s="18" t="s">
        <v>5</v>
      </c>
      <c r="E8" s="18" t="s">
        <v>5</v>
      </c>
      <c r="F8" s="18" t="s">
        <v>5</v>
      </c>
      <c r="G8" s="18" t="s">
        <v>5</v>
      </c>
      <c r="H8" s="18" t="s">
        <v>5</v>
      </c>
    </row>
    <row r="9" spans="1:13" s="2" customFormat="1" ht="15.6" outlineLevel="1" x14ac:dyDescent="0.3">
      <c r="A9" s="1">
        <v>4</v>
      </c>
      <c r="B9" s="7" t="s">
        <v>18</v>
      </c>
      <c r="C9" s="18" t="s">
        <v>5</v>
      </c>
      <c r="D9" s="18" t="s">
        <v>5</v>
      </c>
      <c r="E9" s="18" t="s">
        <v>5</v>
      </c>
      <c r="F9" s="18" t="s">
        <v>5</v>
      </c>
      <c r="G9" s="18" t="s">
        <v>5</v>
      </c>
      <c r="H9" s="18" t="s">
        <v>5</v>
      </c>
    </row>
    <row r="10" spans="1:13" s="2" customFormat="1" ht="15.6" outlineLevel="1" x14ac:dyDescent="0.3">
      <c r="A10" s="1">
        <v>5</v>
      </c>
      <c r="B10" s="7" t="s">
        <v>129</v>
      </c>
      <c r="C10" s="18" t="s">
        <v>5</v>
      </c>
      <c r="D10" s="18" t="s">
        <v>5</v>
      </c>
      <c r="E10" s="18" t="s">
        <v>5</v>
      </c>
      <c r="F10" s="18" t="s">
        <v>5</v>
      </c>
      <c r="G10" s="18" t="s">
        <v>5</v>
      </c>
      <c r="H10" s="18" t="s">
        <v>5</v>
      </c>
    </row>
    <row r="11" spans="1:13" s="2" customFormat="1" ht="15.6" outlineLevel="1" x14ac:dyDescent="0.3">
      <c r="A11" s="1">
        <v>6</v>
      </c>
      <c r="B11" s="6" t="s">
        <v>19</v>
      </c>
      <c r="C11" s="18" t="s">
        <v>5</v>
      </c>
      <c r="D11" s="18" t="s">
        <v>5</v>
      </c>
      <c r="E11" s="18" t="s">
        <v>5</v>
      </c>
      <c r="F11" s="18" t="s">
        <v>5</v>
      </c>
      <c r="G11" s="18" t="s">
        <v>5</v>
      </c>
      <c r="H11" s="18" t="s">
        <v>5</v>
      </c>
    </row>
    <row r="12" spans="1:13" s="2" customFormat="1" ht="15.6" outlineLevel="1" x14ac:dyDescent="0.3">
      <c r="A12" s="1">
        <v>7</v>
      </c>
      <c r="B12" s="6" t="s">
        <v>20</v>
      </c>
      <c r="C12" s="18" t="s">
        <v>5</v>
      </c>
      <c r="D12" s="18" t="s">
        <v>5</v>
      </c>
      <c r="E12" s="18" t="s">
        <v>5</v>
      </c>
      <c r="F12" s="18" t="s">
        <v>5</v>
      </c>
      <c r="G12" s="18" t="s">
        <v>5</v>
      </c>
      <c r="H12" s="18" t="s">
        <v>5</v>
      </c>
    </row>
    <row r="13" spans="1:13" s="2" customFormat="1" ht="15.6" outlineLevel="1" x14ac:dyDescent="0.3">
      <c r="A13" s="1">
        <v>8</v>
      </c>
      <c r="B13" s="7" t="s">
        <v>130</v>
      </c>
      <c r="C13" s="18" t="s">
        <v>5</v>
      </c>
      <c r="D13" s="18" t="s">
        <v>5</v>
      </c>
      <c r="E13" s="18"/>
      <c r="F13" s="18"/>
      <c r="G13" s="18"/>
      <c r="H13" s="18"/>
    </row>
    <row r="14" spans="1:13" s="11" customFormat="1" ht="15.6" x14ac:dyDescent="0.3">
      <c r="A14" s="9"/>
      <c r="B14" s="10" t="s">
        <v>195</v>
      </c>
      <c r="C14" s="17"/>
      <c r="D14" s="17"/>
      <c r="E14" s="17" t="s">
        <v>5</v>
      </c>
      <c r="F14" s="17" t="s">
        <v>5</v>
      </c>
      <c r="G14" s="17"/>
      <c r="H14" s="17" t="s">
        <v>5</v>
      </c>
    </row>
    <row r="15" spans="1:13" s="3" customFormat="1" ht="28.8" outlineLevel="1" x14ac:dyDescent="0.3">
      <c r="A15" s="5">
        <v>1</v>
      </c>
      <c r="B15" s="7" t="s">
        <v>21</v>
      </c>
      <c r="C15" s="19"/>
      <c r="D15" s="19"/>
      <c r="E15" s="19" t="s">
        <v>5</v>
      </c>
      <c r="F15" s="19" t="s">
        <v>5</v>
      </c>
      <c r="G15" s="19"/>
      <c r="H15" s="19" t="s">
        <v>5</v>
      </c>
    </row>
    <row r="16" spans="1:13" s="3" customFormat="1" ht="28.8" outlineLevel="1" x14ac:dyDescent="0.3">
      <c r="A16" s="5">
        <v>2</v>
      </c>
      <c r="B16" s="7" t="s">
        <v>22</v>
      </c>
      <c r="C16" s="19"/>
      <c r="D16" s="19"/>
      <c r="E16" s="19" t="s">
        <v>5</v>
      </c>
      <c r="F16" s="19" t="s">
        <v>5</v>
      </c>
      <c r="G16" s="19"/>
      <c r="H16" s="19" t="s">
        <v>5</v>
      </c>
    </row>
    <row r="17" spans="1:11" s="3" customFormat="1" ht="28.8" outlineLevel="1" x14ac:dyDescent="0.3">
      <c r="A17" s="5">
        <v>3</v>
      </c>
      <c r="B17" s="7" t="s">
        <v>23</v>
      </c>
      <c r="C17" s="19"/>
      <c r="D17" s="19"/>
      <c r="E17" s="19" t="s">
        <v>5</v>
      </c>
      <c r="F17" s="19" t="s">
        <v>5</v>
      </c>
      <c r="G17" s="19"/>
      <c r="H17" s="19" t="s">
        <v>5</v>
      </c>
    </row>
    <row r="18" spans="1:11" s="11" customFormat="1" ht="15.6" x14ac:dyDescent="0.3">
      <c r="A18" s="9"/>
      <c r="B18" s="10" t="s">
        <v>6</v>
      </c>
      <c r="C18" s="17"/>
      <c r="D18" s="17"/>
      <c r="E18" s="17" t="s">
        <v>5</v>
      </c>
      <c r="F18" s="17" t="s">
        <v>5</v>
      </c>
      <c r="G18" s="17"/>
      <c r="H18" s="17" t="s">
        <v>5</v>
      </c>
    </row>
    <row r="19" spans="1:11" s="2" customFormat="1" ht="15.6" outlineLevel="1" x14ac:dyDescent="0.3">
      <c r="A19" s="5">
        <v>1</v>
      </c>
      <c r="B19" s="7" t="s">
        <v>7</v>
      </c>
      <c r="C19" s="18"/>
      <c r="D19" s="18"/>
      <c r="E19" s="18" t="s">
        <v>5</v>
      </c>
      <c r="F19" s="18"/>
      <c r="G19" s="18"/>
      <c r="H19" s="18"/>
    </row>
    <row r="20" spans="1:11" s="2" customFormat="1" ht="15.6" outlineLevel="1" x14ac:dyDescent="0.3">
      <c r="A20" s="5">
        <v>2</v>
      </c>
      <c r="B20" s="7" t="s">
        <v>8</v>
      </c>
      <c r="C20" s="18"/>
      <c r="D20" s="18"/>
      <c r="E20" s="18" t="s">
        <v>5</v>
      </c>
      <c r="F20" s="18"/>
      <c r="G20" s="18"/>
      <c r="H20" s="18" t="s">
        <v>5</v>
      </c>
    </row>
    <row r="21" spans="1:11" s="2" customFormat="1" ht="15.6" outlineLevel="1" x14ac:dyDescent="0.3">
      <c r="A21" s="5">
        <v>3</v>
      </c>
      <c r="B21" s="7" t="s">
        <v>26</v>
      </c>
      <c r="C21" s="18"/>
      <c r="D21" s="18"/>
      <c r="E21" s="18" t="s">
        <v>5</v>
      </c>
      <c r="F21" s="18" t="s">
        <v>5</v>
      </c>
      <c r="G21" s="18"/>
      <c r="H21" s="18" t="s">
        <v>5</v>
      </c>
    </row>
    <row r="22" spans="1:11" s="2" customFormat="1" ht="15.6" outlineLevel="1" x14ac:dyDescent="0.3">
      <c r="A22" s="5">
        <v>4</v>
      </c>
      <c r="B22" s="7" t="s">
        <v>9</v>
      </c>
      <c r="C22" s="18"/>
      <c r="D22" s="18"/>
      <c r="E22" s="18" t="s">
        <v>5</v>
      </c>
      <c r="F22" s="18" t="s">
        <v>5</v>
      </c>
      <c r="G22" s="18"/>
      <c r="H22" s="18" t="s">
        <v>5</v>
      </c>
    </row>
    <row r="23" spans="1:11" s="2" customFormat="1" ht="15.6" outlineLevel="1" x14ac:dyDescent="0.3">
      <c r="A23" s="5">
        <v>5</v>
      </c>
      <c r="B23" s="7" t="s">
        <v>10</v>
      </c>
      <c r="C23" s="18"/>
      <c r="D23" s="18"/>
      <c r="E23" s="18" t="s">
        <v>5</v>
      </c>
      <c r="F23" s="18" t="s">
        <v>5</v>
      </c>
      <c r="G23" s="18"/>
      <c r="H23" s="18" t="s">
        <v>5</v>
      </c>
    </row>
    <row r="24" spans="1:11" s="2" customFormat="1" ht="15.6" outlineLevel="1" x14ac:dyDescent="0.3">
      <c r="A24" s="5">
        <v>6</v>
      </c>
      <c r="B24" s="7" t="s">
        <v>11</v>
      </c>
      <c r="C24" s="18"/>
      <c r="D24" s="18"/>
      <c r="E24" s="18" t="s">
        <v>5</v>
      </c>
      <c r="F24" s="18" t="s">
        <v>5</v>
      </c>
      <c r="G24" s="18"/>
      <c r="H24" s="18" t="s">
        <v>5</v>
      </c>
    </row>
    <row r="25" spans="1:11" s="4" customFormat="1" ht="15.6" x14ac:dyDescent="0.3">
      <c r="A25" s="8"/>
      <c r="B25" s="16" t="s">
        <v>39</v>
      </c>
      <c r="C25" s="21"/>
      <c r="D25" s="21"/>
      <c r="E25" s="20"/>
      <c r="F25" s="20"/>
      <c r="G25" s="20"/>
      <c r="H25" s="20"/>
    </row>
    <row r="26" spans="1:11" s="11" customFormat="1" ht="15.6" x14ac:dyDescent="0.3">
      <c r="A26" s="9"/>
      <c r="B26" s="10" t="s">
        <v>24</v>
      </c>
      <c r="C26" s="17"/>
      <c r="D26" s="17"/>
      <c r="E26" s="17"/>
      <c r="F26" s="17"/>
      <c r="G26" s="17" t="s">
        <v>5</v>
      </c>
      <c r="H26" s="17"/>
    </row>
    <row r="27" spans="1:11" s="2" customFormat="1" ht="15.6" outlineLevel="1" x14ac:dyDescent="0.3">
      <c r="A27" s="1">
        <v>1</v>
      </c>
      <c r="B27" s="7" t="s">
        <v>12</v>
      </c>
      <c r="C27" s="18"/>
      <c r="D27" s="18"/>
      <c r="E27" s="18"/>
      <c r="F27" s="18"/>
      <c r="G27" s="18" t="s">
        <v>5</v>
      </c>
      <c r="H27" s="18"/>
    </row>
    <row r="28" spans="1:11" s="2" customFormat="1" ht="15.6" outlineLevel="1" x14ac:dyDescent="0.3">
      <c r="A28" s="1">
        <v>2</v>
      </c>
      <c r="B28" s="7" t="s">
        <v>13</v>
      </c>
      <c r="C28" s="18"/>
      <c r="D28" s="18"/>
      <c r="E28" s="18"/>
      <c r="F28" s="18"/>
      <c r="G28" s="18" t="s">
        <v>5</v>
      </c>
      <c r="H28" s="18"/>
    </row>
    <row r="29" spans="1:11" ht="15.6" outlineLevel="1" x14ac:dyDescent="0.3">
      <c r="A29" s="1">
        <v>3</v>
      </c>
      <c r="B29" s="7" t="s">
        <v>14</v>
      </c>
      <c r="C29" s="22"/>
      <c r="D29" s="22"/>
      <c r="E29" s="22"/>
      <c r="F29" s="22"/>
      <c r="G29" s="18" t="s">
        <v>5</v>
      </c>
      <c r="H29" s="22"/>
    </row>
    <row r="30" spans="1:11" s="2" customFormat="1" ht="15.6" outlineLevel="1" x14ac:dyDescent="0.3">
      <c r="A30" s="1">
        <v>2</v>
      </c>
      <c r="B30" s="6" t="s">
        <v>17</v>
      </c>
      <c r="C30" s="18"/>
      <c r="D30" s="18"/>
      <c r="E30" s="18"/>
      <c r="F30" s="18"/>
      <c r="G30" s="18" t="s">
        <v>5</v>
      </c>
      <c r="H30" s="18"/>
      <c r="J30" s="27"/>
      <c r="K30" s="27"/>
    </row>
    <row r="31" spans="1:11" s="2" customFormat="1" ht="15.6" outlineLevel="1" x14ac:dyDescent="0.3">
      <c r="A31" s="1">
        <v>4</v>
      </c>
      <c r="B31" s="7" t="s">
        <v>129</v>
      </c>
      <c r="C31" s="18"/>
      <c r="D31" s="18"/>
      <c r="E31" s="18"/>
      <c r="F31" s="18"/>
      <c r="G31" s="18" t="s">
        <v>5</v>
      </c>
      <c r="H31" s="18"/>
    </row>
    <row r="32" spans="1:11" s="2" customFormat="1" ht="15.6" outlineLevel="1" x14ac:dyDescent="0.3">
      <c r="A32" s="1">
        <v>5</v>
      </c>
      <c r="B32" s="7" t="s">
        <v>130</v>
      </c>
      <c r="C32" s="18"/>
      <c r="D32" s="18"/>
      <c r="E32" s="18"/>
      <c r="F32" s="18"/>
      <c r="G32" s="18" t="s">
        <v>5</v>
      </c>
      <c r="H32" s="18"/>
    </row>
    <row r="33" spans="1:8" s="11" customFormat="1" ht="15.6" x14ac:dyDescent="0.3">
      <c r="A33" s="9"/>
      <c r="B33" s="10" t="s">
        <v>27</v>
      </c>
      <c r="C33" s="17"/>
      <c r="D33" s="17"/>
      <c r="E33" s="17"/>
      <c r="F33" s="17" t="s">
        <v>5</v>
      </c>
      <c r="G33" s="17"/>
      <c r="H33" s="17"/>
    </row>
    <row r="34" spans="1:8" s="2" customFormat="1" ht="15.6" outlineLevel="1" x14ac:dyDescent="0.3">
      <c r="A34" s="1">
        <v>1</v>
      </c>
      <c r="B34" s="7" t="s">
        <v>28</v>
      </c>
      <c r="C34" s="18"/>
      <c r="D34" s="18"/>
      <c r="E34" s="18"/>
      <c r="F34" s="18" t="s">
        <v>5</v>
      </c>
      <c r="G34" s="18"/>
      <c r="H34" s="18"/>
    </row>
    <row r="35" spans="1:8" s="2" customFormat="1" ht="15.6" outlineLevel="1" x14ac:dyDescent="0.3">
      <c r="A35" s="1">
        <v>2</v>
      </c>
      <c r="B35" s="7" t="s">
        <v>29</v>
      </c>
      <c r="C35" s="18"/>
      <c r="D35" s="18"/>
      <c r="E35" s="18"/>
      <c r="F35" s="18" t="s">
        <v>5</v>
      </c>
      <c r="G35" s="18"/>
      <c r="H35" s="18"/>
    </row>
    <row r="36" spans="1:8" ht="15.6" outlineLevel="1" x14ac:dyDescent="0.3">
      <c r="A36" s="1">
        <v>3</v>
      </c>
      <c r="B36" s="7" t="s">
        <v>30</v>
      </c>
      <c r="C36" s="22"/>
      <c r="D36" s="22"/>
      <c r="E36" s="22"/>
      <c r="F36" s="18" t="s">
        <v>5</v>
      </c>
      <c r="G36" s="18"/>
      <c r="H36" s="22"/>
    </row>
    <row r="37" spans="1:8" ht="15.6" outlineLevel="1" x14ac:dyDescent="0.3">
      <c r="A37" s="1">
        <v>5</v>
      </c>
      <c r="B37" s="32" t="s">
        <v>35</v>
      </c>
      <c r="C37" s="22"/>
      <c r="D37" s="22"/>
      <c r="E37" s="22"/>
      <c r="F37" s="18" t="s">
        <v>5</v>
      </c>
      <c r="G37" s="18"/>
      <c r="H37" s="22"/>
    </row>
    <row r="38" spans="1:8" ht="15.6" outlineLevel="1" x14ac:dyDescent="0.3">
      <c r="A38" s="1">
        <v>6</v>
      </c>
      <c r="B38" s="32" t="s">
        <v>33</v>
      </c>
      <c r="C38" s="22"/>
      <c r="D38" s="22"/>
      <c r="E38" s="22"/>
      <c r="F38" s="18" t="s">
        <v>5</v>
      </c>
      <c r="G38" s="18"/>
      <c r="H38" s="22"/>
    </row>
    <row r="39" spans="1:8" ht="15.6" outlineLevel="1" x14ac:dyDescent="0.3">
      <c r="A39" s="1">
        <v>7</v>
      </c>
      <c r="B39" s="32" t="s">
        <v>34</v>
      </c>
      <c r="C39" s="22"/>
      <c r="D39" s="22"/>
      <c r="E39" s="22"/>
      <c r="F39" s="18" t="s">
        <v>5</v>
      </c>
      <c r="G39" s="18"/>
      <c r="H39" s="22"/>
    </row>
    <row r="40" spans="1:8" s="2" customFormat="1" ht="15.6" outlineLevel="1" x14ac:dyDescent="0.3">
      <c r="A40" s="1">
        <v>8</v>
      </c>
      <c r="B40" s="7" t="s">
        <v>31</v>
      </c>
      <c r="C40" s="18"/>
      <c r="D40" s="18"/>
      <c r="E40" s="18"/>
      <c r="F40" s="18" t="s">
        <v>5</v>
      </c>
      <c r="G40" s="18"/>
      <c r="H40" s="18"/>
    </row>
    <row r="41" spans="1:8" s="2" customFormat="1" ht="15.6" outlineLevel="1" x14ac:dyDescent="0.3">
      <c r="A41" s="1">
        <v>9</v>
      </c>
      <c r="B41" s="7" t="s">
        <v>32</v>
      </c>
      <c r="C41" s="18"/>
      <c r="D41" s="18"/>
      <c r="E41" s="18"/>
      <c r="F41" s="18" t="s">
        <v>5</v>
      </c>
      <c r="G41" s="18"/>
      <c r="H41" s="18"/>
    </row>
    <row r="42" spans="1:8" s="11" customFormat="1" ht="15.6" x14ac:dyDescent="0.3">
      <c r="A42" s="9"/>
      <c r="B42" s="10" t="s">
        <v>36</v>
      </c>
      <c r="C42" s="17"/>
      <c r="D42" s="17"/>
      <c r="E42" s="17"/>
      <c r="F42" s="17" t="s">
        <v>5</v>
      </c>
      <c r="G42" s="17"/>
      <c r="H42" s="17"/>
    </row>
    <row r="43" spans="1:8" s="2" customFormat="1" ht="15.6" outlineLevel="1" x14ac:dyDescent="0.3">
      <c r="A43" s="1">
        <v>1</v>
      </c>
      <c r="B43" s="7" t="s">
        <v>37</v>
      </c>
      <c r="C43" s="18"/>
      <c r="D43" s="18"/>
      <c r="E43" s="18"/>
      <c r="F43" s="18" t="s">
        <v>5</v>
      </c>
      <c r="G43" s="18"/>
      <c r="H43" s="18"/>
    </row>
    <row r="44" spans="1:8" s="2" customFormat="1" ht="15.6" outlineLevel="1" x14ac:dyDescent="0.3">
      <c r="A44" s="1">
        <v>2</v>
      </c>
      <c r="B44" s="7" t="s">
        <v>30</v>
      </c>
      <c r="C44" s="18"/>
      <c r="D44" s="18"/>
      <c r="E44" s="18"/>
      <c r="F44" s="18" t="s">
        <v>5</v>
      </c>
      <c r="G44" s="18"/>
      <c r="H44" s="18"/>
    </row>
    <row r="45" spans="1:8" ht="15.6" outlineLevel="1" x14ac:dyDescent="0.3">
      <c r="A45" s="1">
        <v>3</v>
      </c>
      <c r="B45" s="7" t="s">
        <v>38</v>
      </c>
      <c r="C45" s="22"/>
      <c r="D45" s="22"/>
      <c r="E45" s="22"/>
      <c r="F45" s="18" t="s">
        <v>5</v>
      </c>
      <c r="G45" s="18"/>
      <c r="H45" s="22"/>
    </row>
    <row r="46" spans="1:8" s="11" customFormat="1" ht="15.6" x14ac:dyDescent="0.3">
      <c r="A46" s="9"/>
      <c r="B46" s="10" t="s">
        <v>42</v>
      </c>
      <c r="C46" s="17"/>
      <c r="D46" s="17"/>
      <c r="E46" s="17"/>
      <c r="F46" s="17"/>
      <c r="G46" s="17"/>
      <c r="H46" s="17" t="s">
        <v>5</v>
      </c>
    </row>
    <row r="47" spans="1:8" s="2" customFormat="1" ht="15.6" outlineLevel="1" x14ac:dyDescent="0.3">
      <c r="A47" s="1">
        <v>1</v>
      </c>
      <c r="B47" s="7" t="s">
        <v>43</v>
      </c>
      <c r="C47" s="18"/>
      <c r="D47" s="18"/>
      <c r="E47" s="18"/>
      <c r="F47" s="18"/>
      <c r="G47" s="18"/>
      <c r="H47" s="18" t="s">
        <v>5</v>
      </c>
    </row>
    <row r="48" spans="1:8" s="2" customFormat="1" ht="15.6" outlineLevel="1" x14ac:dyDescent="0.3">
      <c r="A48" s="1">
        <v>2</v>
      </c>
      <c r="B48" s="7" t="s">
        <v>44</v>
      </c>
      <c r="C48" s="18"/>
      <c r="D48" s="18"/>
      <c r="E48" s="18"/>
      <c r="F48" s="18"/>
      <c r="G48" s="18"/>
      <c r="H48" s="18" t="s">
        <v>5</v>
      </c>
    </row>
    <row r="49" spans="1:10" ht="15.6" outlineLevel="1" x14ac:dyDescent="0.3">
      <c r="A49" s="1">
        <v>3</v>
      </c>
      <c r="B49" s="7" t="s">
        <v>53</v>
      </c>
      <c r="C49" s="22"/>
      <c r="D49" s="22"/>
      <c r="E49" s="22"/>
      <c r="F49" s="18"/>
      <c r="G49" s="18"/>
      <c r="H49" s="18" t="s">
        <v>5</v>
      </c>
    </row>
    <row r="50" spans="1:10" ht="15.6" outlineLevel="1" x14ac:dyDescent="0.3">
      <c r="A50" s="1">
        <v>4</v>
      </c>
      <c r="B50" s="7" t="s">
        <v>52</v>
      </c>
      <c r="C50" s="22"/>
      <c r="D50" s="22"/>
      <c r="E50" s="22"/>
      <c r="F50" s="18"/>
      <c r="G50" s="18"/>
      <c r="H50" s="18" t="s">
        <v>5</v>
      </c>
    </row>
    <row r="51" spans="1:10" ht="15.6" outlineLevel="1" x14ac:dyDescent="0.3">
      <c r="A51" s="1">
        <v>5</v>
      </c>
      <c r="B51" s="7" t="s">
        <v>45</v>
      </c>
      <c r="C51" s="22"/>
      <c r="D51" s="22"/>
      <c r="E51" s="22"/>
      <c r="F51" s="18"/>
      <c r="G51" s="18"/>
      <c r="H51" s="18" t="s">
        <v>5</v>
      </c>
    </row>
    <row r="52" spans="1:10" s="11" customFormat="1" ht="15.6" x14ac:dyDescent="0.3">
      <c r="A52" s="9"/>
      <c r="B52" s="10" t="s">
        <v>46</v>
      </c>
      <c r="C52" s="17"/>
      <c r="D52" s="17"/>
      <c r="E52" s="17" t="s">
        <v>5</v>
      </c>
      <c r="F52" s="17" t="s">
        <v>5</v>
      </c>
      <c r="G52" s="17" t="s">
        <v>5</v>
      </c>
      <c r="H52" s="17" t="s">
        <v>5</v>
      </c>
    </row>
    <row r="53" spans="1:10" s="2" customFormat="1" ht="15.6" outlineLevel="1" x14ac:dyDescent="0.3">
      <c r="A53" s="1">
        <v>1</v>
      </c>
      <c r="B53" s="7" t="s">
        <v>40</v>
      </c>
      <c r="C53" s="18" t="s">
        <v>5</v>
      </c>
      <c r="D53" s="18" t="s">
        <v>5</v>
      </c>
      <c r="E53" s="18" t="s">
        <v>5</v>
      </c>
      <c r="F53" s="18"/>
      <c r="G53" s="18"/>
      <c r="H53" s="18"/>
    </row>
    <row r="54" spans="1:10" ht="15.6" outlineLevel="1" x14ac:dyDescent="0.3">
      <c r="A54" s="1">
        <v>2</v>
      </c>
      <c r="B54" s="7" t="s">
        <v>41</v>
      </c>
      <c r="C54" s="22"/>
      <c r="D54" s="22"/>
      <c r="E54" s="18" t="s">
        <v>5</v>
      </c>
      <c r="F54" s="18" t="s">
        <v>5</v>
      </c>
      <c r="G54" s="18" t="s">
        <v>5</v>
      </c>
      <c r="H54" s="18" t="s">
        <v>5</v>
      </c>
    </row>
    <row r="55" spans="1:10" ht="15.6" outlineLevel="1" x14ac:dyDescent="0.3">
      <c r="B55" s="25"/>
      <c r="C55" s="23"/>
      <c r="D55" s="23"/>
      <c r="E55" s="24"/>
      <c r="F55" s="24"/>
      <c r="G55" s="24"/>
      <c r="H55" s="24"/>
    </row>
    <row r="56" spans="1:10" s="11" customFormat="1" x14ac:dyDescent="0.3">
      <c r="A56" s="9"/>
      <c r="B56" s="26" t="s">
        <v>47</v>
      </c>
      <c r="C56" s="29" t="s">
        <v>48</v>
      </c>
      <c r="D56" s="30"/>
      <c r="E56" s="30"/>
      <c r="F56" s="30"/>
      <c r="G56" s="30"/>
      <c r="H56" s="31"/>
      <c r="I56"/>
      <c r="J56"/>
    </row>
  </sheetData>
  <mergeCells count="1">
    <mergeCell ref="B1:H1"/>
  </mergeCells>
  <hyperlinks>
    <hyperlink ref="B1:H1" location="СОДЕРЖАНИЕ!A1" display="вернуться в содержание"/>
  </hyperlinks>
  <pageMargins left="0.23622047244094491" right="0.23622047244094491" top="0.74803149606299213" bottom="0.74803149606299213" header="0.31496062992125984" footer="0.31496062992125984"/>
  <pageSetup paperSize="9" scale="94" orientation="portrait" r:id="rId1"/>
  <rowBreaks count="1" manualBreakCount="1">
    <brk id="32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2"/>
  <sheetViews>
    <sheetView view="pageBreakPreview" topLeftCell="A52" zoomScaleNormal="100" zoomScaleSheetLayoutView="100" workbookViewId="0">
      <selection activeCell="D26" sqref="D26:G26"/>
    </sheetView>
  </sheetViews>
  <sheetFormatPr defaultRowHeight="14.4" outlineLevelRow="1" outlineLevelCol="1" x14ac:dyDescent="0.3"/>
  <cols>
    <col min="1" max="1" width="11.6640625" customWidth="1"/>
    <col min="2" max="2" width="24" bestFit="1" customWidth="1"/>
    <col min="3" max="7" width="12.6640625" customWidth="1"/>
    <col min="8" max="8" width="9.109375" hidden="1" customWidth="1" outlineLevel="1"/>
    <col min="9" max="9" width="11.44140625" hidden="1" customWidth="1" outlineLevel="1"/>
    <col min="10" max="10" width="11" hidden="1" customWidth="1"/>
    <col min="11" max="11" width="10" hidden="1" customWidth="1"/>
    <col min="12" max="12" width="9.5546875" hidden="1" customWidth="1"/>
    <col min="13" max="17" width="0" hidden="1" customWidth="1"/>
  </cols>
  <sheetData>
    <row r="1" spans="1:17" s="58" customFormat="1" ht="18.75" customHeight="1" x14ac:dyDescent="0.3">
      <c r="A1" s="91"/>
      <c r="B1" s="57"/>
      <c r="D1" s="41"/>
      <c r="E1" s="41"/>
      <c r="F1" s="41"/>
      <c r="G1" s="214" t="str">
        <f>СОДЕРЖАНИЕ!I2</f>
        <v>Прайс-лист на изделия из ПВХ от 02.12.2024</v>
      </c>
    </row>
    <row r="2" spans="1:17" s="58" customFormat="1" ht="20.25" customHeight="1" x14ac:dyDescent="0.3">
      <c r="A2" s="91"/>
      <c r="B2" s="57"/>
      <c r="C2" s="57"/>
      <c r="D2" s="57"/>
      <c r="E2" s="57"/>
      <c r="F2"/>
      <c r="G2"/>
    </row>
    <row r="3" spans="1:17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7" ht="15.6" customHeight="1" x14ac:dyDescent="0.3">
      <c r="A4" s="408" t="s">
        <v>194</v>
      </c>
      <c r="B4" s="409"/>
      <c r="C4" s="409"/>
      <c r="D4" s="409"/>
      <c r="E4" s="409">
        <v>1.1000000000000001</v>
      </c>
      <c r="F4" s="409">
        <v>1.2</v>
      </c>
      <c r="G4" s="410">
        <v>1.45</v>
      </c>
    </row>
    <row r="5" spans="1:17" ht="15.6" customHeight="1" x14ac:dyDescent="0.3">
      <c r="A5" s="436" t="s">
        <v>175</v>
      </c>
      <c r="B5" s="436"/>
      <c r="C5" s="120"/>
      <c r="D5" s="437" t="s">
        <v>144</v>
      </c>
      <c r="E5" s="437"/>
      <c r="F5" s="437"/>
      <c r="G5" s="437"/>
      <c r="H5" s="107"/>
      <c r="I5" s="107"/>
    </row>
    <row r="6" spans="1:17" ht="37.5" customHeight="1" x14ac:dyDescent="0.3">
      <c r="A6" s="436"/>
      <c r="B6" s="436"/>
      <c r="C6" s="237" t="s">
        <v>66</v>
      </c>
      <c r="D6" s="133" t="s">
        <v>145</v>
      </c>
      <c r="E6" s="133" t="s">
        <v>146</v>
      </c>
      <c r="F6" s="133" t="s">
        <v>415</v>
      </c>
      <c r="G6" s="133" t="s">
        <v>147</v>
      </c>
      <c r="H6" s="107"/>
      <c r="I6" s="107"/>
    </row>
    <row r="7" spans="1:17" ht="15.6" customHeight="1" x14ac:dyDescent="0.3">
      <c r="A7" s="428" t="s">
        <v>148</v>
      </c>
      <c r="B7" s="429"/>
      <c r="C7" s="50">
        <v>2000</v>
      </c>
      <c r="D7" s="46">
        <v>2750</v>
      </c>
      <c r="E7" s="46">
        <v>3030</v>
      </c>
      <c r="F7" s="46">
        <v>3300</v>
      </c>
      <c r="G7" s="46">
        <v>3990</v>
      </c>
      <c r="H7" s="107"/>
      <c r="I7" s="107"/>
      <c r="J7">
        <v>2500</v>
      </c>
      <c r="K7">
        <v>3000</v>
      </c>
      <c r="L7">
        <v>4000</v>
      </c>
      <c r="M7">
        <v>5000</v>
      </c>
      <c r="N7" s="311">
        <f>D7/J7-1</f>
        <v>0.10000000000000009</v>
      </c>
      <c r="O7" s="311">
        <f t="shared" ref="O7:Q20" si="0">E7/K7-1</f>
        <v>1.0000000000000009E-2</v>
      </c>
      <c r="P7" s="311">
        <f t="shared" si="0"/>
        <v>-0.17500000000000004</v>
      </c>
      <c r="Q7" s="311">
        <f t="shared" si="0"/>
        <v>-0.20199999999999996</v>
      </c>
    </row>
    <row r="8" spans="1:17" ht="15.6" customHeight="1" outlineLevel="1" x14ac:dyDescent="0.3">
      <c r="A8" s="430"/>
      <c r="B8" s="431"/>
      <c r="C8" s="367">
        <v>2100</v>
      </c>
      <c r="D8" s="46">
        <v>2860.0000000000005</v>
      </c>
      <c r="E8" s="46">
        <v>3410.0000000000005</v>
      </c>
      <c r="F8" s="46">
        <v>4565</v>
      </c>
      <c r="G8" s="46">
        <v>5720.0000000000009</v>
      </c>
      <c r="H8" s="107"/>
      <c r="I8" s="107"/>
      <c r="J8">
        <v>2750</v>
      </c>
      <c r="K8">
        <v>3300.0000000000005</v>
      </c>
      <c r="L8">
        <v>4400</v>
      </c>
      <c r="M8">
        <v>5500</v>
      </c>
      <c r="N8" s="311">
        <f t="shared" ref="N8:N20" si="1">D8/J8-1</f>
        <v>4.0000000000000258E-2</v>
      </c>
      <c r="O8" s="311">
        <f t="shared" si="0"/>
        <v>3.3333333333333437E-2</v>
      </c>
      <c r="P8" s="311">
        <f t="shared" si="0"/>
        <v>3.7500000000000089E-2</v>
      </c>
      <c r="Q8" s="311">
        <f t="shared" si="0"/>
        <v>4.0000000000000258E-2</v>
      </c>
    </row>
    <row r="9" spans="1:17" ht="15.6" customHeight="1" outlineLevel="1" x14ac:dyDescent="0.3">
      <c r="A9" s="430"/>
      <c r="B9" s="431"/>
      <c r="C9" s="367">
        <v>2200</v>
      </c>
      <c r="D9" s="46">
        <v>3120</v>
      </c>
      <c r="E9" s="46">
        <v>3720</v>
      </c>
      <c r="F9" s="46">
        <v>4980</v>
      </c>
      <c r="G9" s="46">
        <v>6240</v>
      </c>
      <c r="H9" s="107"/>
      <c r="I9" s="107"/>
      <c r="J9">
        <v>3000</v>
      </c>
      <c r="K9">
        <v>3600</v>
      </c>
      <c r="L9">
        <v>4800</v>
      </c>
      <c r="M9">
        <v>6000</v>
      </c>
      <c r="N9" s="311">
        <f t="shared" si="1"/>
        <v>4.0000000000000036E-2</v>
      </c>
      <c r="O9" s="311">
        <f t="shared" si="0"/>
        <v>3.3333333333333437E-2</v>
      </c>
      <c r="P9" s="311">
        <f t="shared" si="0"/>
        <v>3.7500000000000089E-2</v>
      </c>
      <c r="Q9" s="311">
        <f t="shared" si="0"/>
        <v>4.0000000000000036E-2</v>
      </c>
    </row>
    <row r="10" spans="1:17" ht="15.6" customHeight="1" outlineLevel="1" x14ac:dyDescent="0.3">
      <c r="A10" s="430"/>
      <c r="B10" s="431"/>
      <c r="C10" s="367">
        <v>2300</v>
      </c>
      <c r="D10" s="46">
        <v>3380</v>
      </c>
      <c r="E10" s="46">
        <v>4030</v>
      </c>
      <c r="F10" s="46">
        <v>5395</v>
      </c>
      <c r="G10" s="46">
        <v>6760</v>
      </c>
      <c r="H10" s="107"/>
      <c r="I10" s="107"/>
      <c r="J10">
        <v>3250</v>
      </c>
      <c r="K10">
        <v>3900</v>
      </c>
      <c r="L10">
        <v>5200</v>
      </c>
      <c r="M10">
        <v>6500</v>
      </c>
      <c r="N10" s="311">
        <f t="shared" si="1"/>
        <v>4.0000000000000036E-2</v>
      </c>
      <c r="O10" s="311">
        <f t="shared" si="0"/>
        <v>3.3333333333333437E-2</v>
      </c>
      <c r="P10" s="311">
        <f t="shared" si="0"/>
        <v>3.7500000000000089E-2</v>
      </c>
      <c r="Q10" s="311">
        <f t="shared" si="0"/>
        <v>4.0000000000000036E-2</v>
      </c>
    </row>
    <row r="11" spans="1:17" ht="15.6" customHeight="1" outlineLevel="1" x14ac:dyDescent="0.3">
      <c r="A11" s="432"/>
      <c r="B11" s="433"/>
      <c r="C11" s="367">
        <v>2400</v>
      </c>
      <c r="D11" s="46">
        <v>3639.9999999999995</v>
      </c>
      <c r="E11" s="46">
        <v>4340</v>
      </c>
      <c r="F11" s="46">
        <v>5810</v>
      </c>
      <c r="G11" s="46">
        <v>7279.9999999999991</v>
      </c>
      <c r="H11" s="107"/>
      <c r="I11" s="107"/>
      <c r="N11" s="311"/>
      <c r="O11" s="311"/>
      <c r="P11" s="311"/>
      <c r="Q11" s="311"/>
    </row>
    <row r="12" spans="1:17" ht="15.6" customHeight="1" x14ac:dyDescent="0.3">
      <c r="A12" s="428" t="s">
        <v>149</v>
      </c>
      <c r="B12" s="429"/>
      <c r="C12" s="50">
        <v>2000</v>
      </c>
      <c r="D12" s="46">
        <v>3300</v>
      </c>
      <c r="E12" s="46">
        <v>3630</v>
      </c>
      <c r="F12" s="46">
        <v>3960</v>
      </c>
      <c r="G12" s="46">
        <v>4790</v>
      </c>
      <c r="H12" s="107"/>
      <c r="I12" s="107"/>
      <c r="J12">
        <v>3000</v>
      </c>
      <c r="K12">
        <v>3500</v>
      </c>
      <c r="L12">
        <v>4500</v>
      </c>
      <c r="M12">
        <v>5500</v>
      </c>
      <c r="N12" s="311">
        <f t="shared" si="1"/>
        <v>0.10000000000000009</v>
      </c>
      <c r="O12" s="311">
        <f t="shared" si="0"/>
        <v>3.7142857142857144E-2</v>
      </c>
      <c r="P12" s="311">
        <f t="shared" si="0"/>
        <v>-0.12</v>
      </c>
      <c r="Q12" s="311">
        <f t="shared" si="0"/>
        <v>-0.12909090909090915</v>
      </c>
    </row>
    <row r="13" spans="1:17" ht="15.6" customHeight="1" outlineLevel="1" x14ac:dyDescent="0.3">
      <c r="A13" s="430"/>
      <c r="B13" s="431"/>
      <c r="C13" s="367">
        <v>2100</v>
      </c>
      <c r="D13" s="46">
        <v>3465.0000000000005</v>
      </c>
      <c r="E13" s="46">
        <v>4015.0000000000005</v>
      </c>
      <c r="F13" s="46">
        <v>5170</v>
      </c>
      <c r="G13" s="46">
        <v>6325.0000000000009</v>
      </c>
      <c r="H13" s="107"/>
      <c r="I13" s="107"/>
      <c r="J13">
        <v>3300.0000000000005</v>
      </c>
      <c r="K13">
        <v>3850.0000000000005</v>
      </c>
      <c r="L13">
        <v>4950</v>
      </c>
      <c r="M13">
        <v>6050.0000000000009</v>
      </c>
      <c r="N13" s="311">
        <f t="shared" si="1"/>
        <v>5.0000000000000044E-2</v>
      </c>
      <c r="O13" s="311">
        <f t="shared" si="0"/>
        <v>4.2857142857142927E-2</v>
      </c>
      <c r="P13" s="311">
        <f t="shared" si="0"/>
        <v>4.4444444444444509E-2</v>
      </c>
      <c r="Q13" s="311">
        <f t="shared" si="0"/>
        <v>4.5454545454545414E-2</v>
      </c>
    </row>
    <row r="14" spans="1:17" ht="15.6" customHeight="1" outlineLevel="1" x14ac:dyDescent="0.3">
      <c r="A14" s="430"/>
      <c r="B14" s="431"/>
      <c r="C14" s="367">
        <v>2200</v>
      </c>
      <c r="D14" s="46">
        <v>3780</v>
      </c>
      <c r="E14" s="46">
        <v>4380</v>
      </c>
      <c r="F14" s="46">
        <v>5640</v>
      </c>
      <c r="G14" s="46">
        <v>6900</v>
      </c>
      <c r="H14" s="107"/>
      <c r="I14" s="107"/>
      <c r="J14">
        <v>3600</v>
      </c>
      <c r="K14">
        <v>4200</v>
      </c>
      <c r="L14">
        <v>5400</v>
      </c>
      <c r="M14">
        <v>6600</v>
      </c>
      <c r="N14" s="311">
        <f t="shared" si="1"/>
        <v>5.0000000000000044E-2</v>
      </c>
      <c r="O14" s="311">
        <f t="shared" si="0"/>
        <v>4.2857142857142927E-2</v>
      </c>
      <c r="P14" s="311">
        <f t="shared" si="0"/>
        <v>4.4444444444444509E-2</v>
      </c>
      <c r="Q14" s="311">
        <f t="shared" si="0"/>
        <v>4.5454545454545414E-2</v>
      </c>
    </row>
    <row r="15" spans="1:17" ht="15.6" customHeight="1" outlineLevel="1" x14ac:dyDescent="0.3">
      <c r="A15" s="430"/>
      <c r="B15" s="431"/>
      <c r="C15" s="367">
        <v>2300</v>
      </c>
      <c r="D15" s="46">
        <v>4095</v>
      </c>
      <c r="E15" s="46">
        <v>4745</v>
      </c>
      <c r="F15" s="46">
        <v>6110</v>
      </c>
      <c r="G15" s="46">
        <v>7475</v>
      </c>
      <c r="H15" s="107"/>
      <c r="I15" s="107"/>
      <c r="J15">
        <v>3900</v>
      </c>
      <c r="K15">
        <v>4550</v>
      </c>
      <c r="L15">
        <v>5850</v>
      </c>
      <c r="M15">
        <v>7150</v>
      </c>
      <c r="N15" s="311">
        <f t="shared" si="1"/>
        <v>5.0000000000000044E-2</v>
      </c>
      <c r="O15" s="311">
        <f t="shared" si="0"/>
        <v>4.2857142857142927E-2</v>
      </c>
      <c r="P15" s="311">
        <f t="shared" si="0"/>
        <v>4.4444444444444509E-2</v>
      </c>
      <c r="Q15" s="311">
        <f t="shared" si="0"/>
        <v>4.5454545454545414E-2</v>
      </c>
    </row>
    <row r="16" spans="1:17" ht="15.6" customHeight="1" outlineLevel="1" x14ac:dyDescent="0.3">
      <c r="A16" s="432"/>
      <c r="B16" s="433"/>
      <c r="C16" s="367">
        <v>2400</v>
      </c>
      <c r="D16" s="46">
        <v>4410</v>
      </c>
      <c r="E16" s="46">
        <v>5110</v>
      </c>
      <c r="F16" s="46">
        <v>6580</v>
      </c>
      <c r="G16" s="46">
        <v>8049.9999999999991</v>
      </c>
      <c r="H16" s="107"/>
      <c r="I16" s="107"/>
      <c r="N16" s="311"/>
      <c r="O16" s="311"/>
      <c r="P16" s="311"/>
      <c r="Q16" s="311"/>
    </row>
    <row r="17" spans="1:17" ht="15.6" customHeight="1" x14ac:dyDescent="0.3">
      <c r="A17" s="428" t="s">
        <v>162</v>
      </c>
      <c r="B17" s="429"/>
      <c r="C17" s="50">
        <v>2000</v>
      </c>
      <c r="D17" s="46">
        <v>3900</v>
      </c>
      <c r="E17" s="46">
        <v>4290</v>
      </c>
      <c r="F17" s="46">
        <v>4680</v>
      </c>
      <c r="G17" s="46">
        <v>5660</v>
      </c>
      <c r="H17" s="107"/>
      <c r="I17" s="107"/>
      <c r="J17">
        <v>3500</v>
      </c>
      <c r="K17">
        <v>4000</v>
      </c>
      <c r="L17">
        <v>5000</v>
      </c>
      <c r="M17">
        <v>6000</v>
      </c>
      <c r="N17" s="311">
        <f t="shared" si="1"/>
        <v>0.11428571428571432</v>
      </c>
      <c r="O17" s="311">
        <f t="shared" si="0"/>
        <v>7.2500000000000009E-2</v>
      </c>
      <c r="P17" s="311">
        <f t="shared" si="0"/>
        <v>-6.3999999999999946E-2</v>
      </c>
      <c r="Q17" s="311">
        <f t="shared" si="0"/>
        <v>-5.6666666666666643E-2</v>
      </c>
    </row>
    <row r="18" spans="1:17" ht="15.6" customHeight="1" outlineLevel="1" x14ac:dyDescent="0.3">
      <c r="A18" s="430"/>
      <c r="B18" s="431"/>
      <c r="C18" s="367">
        <v>2100</v>
      </c>
      <c r="D18" s="46">
        <v>4015.0000000000005</v>
      </c>
      <c r="E18" s="46">
        <v>4565</v>
      </c>
      <c r="F18" s="46">
        <v>5665.0000000000009</v>
      </c>
      <c r="G18" s="46">
        <v>6820.0000000000009</v>
      </c>
      <c r="J18">
        <v>3850.0000000000005</v>
      </c>
      <c r="K18">
        <v>4400</v>
      </c>
      <c r="L18">
        <v>5500</v>
      </c>
      <c r="M18">
        <v>6600.0000000000009</v>
      </c>
      <c r="N18" s="311">
        <f t="shared" si="1"/>
        <v>4.2857142857142927E-2</v>
      </c>
      <c r="O18" s="311">
        <f t="shared" si="0"/>
        <v>3.7500000000000089E-2</v>
      </c>
      <c r="P18" s="311">
        <f t="shared" si="0"/>
        <v>3.0000000000000249E-2</v>
      </c>
      <c r="Q18" s="311">
        <f t="shared" si="0"/>
        <v>3.3333333333333437E-2</v>
      </c>
    </row>
    <row r="19" spans="1:17" ht="15.6" customHeight="1" outlineLevel="1" x14ac:dyDescent="0.3">
      <c r="A19" s="430"/>
      <c r="B19" s="431"/>
      <c r="C19" s="367">
        <v>2200</v>
      </c>
      <c r="D19" s="46">
        <v>4380</v>
      </c>
      <c r="E19" s="46">
        <v>4980</v>
      </c>
      <c r="F19" s="46">
        <v>6180</v>
      </c>
      <c r="G19" s="46">
        <v>7440</v>
      </c>
      <c r="J19">
        <v>4200</v>
      </c>
      <c r="K19">
        <v>4800</v>
      </c>
      <c r="L19">
        <v>6000</v>
      </c>
      <c r="M19">
        <v>7200</v>
      </c>
      <c r="N19" s="311">
        <f t="shared" si="1"/>
        <v>4.2857142857142927E-2</v>
      </c>
      <c r="O19" s="311">
        <f t="shared" si="0"/>
        <v>3.7500000000000089E-2</v>
      </c>
      <c r="P19" s="311">
        <f t="shared" si="0"/>
        <v>3.0000000000000027E-2</v>
      </c>
      <c r="Q19" s="311">
        <f t="shared" si="0"/>
        <v>3.3333333333333437E-2</v>
      </c>
    </row>
    <row r="20" spans="1:17" ht="15.6" customHeight="1" outlineLevel="1" x14ac:dyDescent="0.3">
      <c r="A20" s="430"/>
      <c r="B20" s="431"/>
      <c r="C20" s="367">
        <v>2300</v>
      </c>
      <c r="D20" s="46">
        <v>4745</v>
      </c>
      <c r="E20" s="46">
        <v>5395</v>
      </c>
      <c r="F20" s="46">
        <v>6695</v>
      </c>
      <c r="G20" s="46">
        <v>8060</v>
      </c>
      <c r="J20">
        <v>4550</v>
      </c>
      <c r="K20">
        <v>5200</v>
      </c>
      <c r="L20">
        <v>6500</v>
      </c>
      <c r="M20">
        <v>7800</v>
      </c>
      <c r="N20" s="311">
        <f t="shared" si="1"/>
        <v>4.2857142857142927E-2</v>
      </c>
      <c r="O20" s="311">
        <f t="shared" si="0"/>
        <v>3.7500000000000089E-2</v>
      </c>
      <c r="P20" s="311">
        <f t="shared" si="0"/>
        <v>3.0000000000000027E-2</v>
      </c>
      <c r="Q20" s="311">
        <f t="shared" si="0"/>
        <v>3.3333333333333437E-2</v>
      </c>
    </row>
    <row r="21" spans="1:17" ht="15.6" customHeight="1" outlineLevel="1" x14ac:dyDescent="0.3">
      <c r="A21" s="432"/>
      <c r="B21" s="433"/>
      <c r="C21" s="367">
        <v>2400</v>
      </c>
      <c r="D21" s="46">
        <v>5110</v>
      </c>
      <c r="E21" s="46">
        <v>5810</v>
      </c>
      <c r="F21" s="46">
        <v>7209.9999999999991</v>
      </c>
      <c r="G21" s="46">
        <v>8680</v>
      </c>
      <c r="N21" s="311"/>
      <c r="O21" s="311"/>
      <c r="P21" s="311"/>
      <c r="Q21" s="311"/>
    </row>
    <row r="22" spans="1:17" ht="15.6" customHeight="1" x14ac:dyDescent="0.3">
      <c r="A22" s="63"/>
      <c r="B22" s="36"/>
      <c r="C22" s="36"/>
      <c r="D22" s="36"/>
      <c r="E22" s="36"/>
      <c r="F22" s="36"/>
      <c r="G22" s="36"/>
    </row>
    <row r="23" spans="1:17" ht="15.6" customHeight="1" x14ac:dyDescent="0.3">
      <c r="A23" s="408" t="s">
        <v>375</v>
      </c>
      <c r="B23" s="409"/>
      <c r="C23" s="409"/>
      <c r="D23" s="409"/>
      <c r="E23" s="409">
        <v>1.1000000000000001</v>
      </c>
      <c r="F23" s="409">
        <v>1.2</v>
      </c>
      <c r="G23" s="410">
        <v>1.45</v>
      </c>
    </row>
    <row r="24" spans="1:17" ht="15.6" customHeight="1" x14ac:dyDescent="0.3">
      <c r="A24" s="436" t="s">
        <v>175</v>
      </c>
      <c r="B24" s="436"/>
      <c r="C24" s="120"/>
      <c r="D24" s="437" t="s">
        <v>144</v>
      </c>
      <c r="E24" s="437"/>
      <c r="F24" s="437"/>
      <c r="G24" s="437"/>
      <c r="H24" s="107"/>
      <c r="I24" s="107"/>
    </row>
    <row r="25" spans="1:17" ht="36" customHeight="1" x14ac:dyDescent="0.3">
      <c r="A25" s="436"/>
      <c r="B25" s="436"/>
      <c r="C25" s="290" t="s">
        <v>66</v>
      </c>
      <c r="D25" s="133" t="s">
        <v>145</v>
      </c>
      <c r="E25" s="133" t="s">
        <v>146</v>
      </c>
      <c r="F25" s="133" t="s">
        <v>415</v>
      </c>
      <c r="G25" s="133" t="s">
        <v>147</v>
      </c>
      <c r="H25" s="107"/>
      <c r="I25" s="107"/>
    </row>
    <row r="26" spans="1:17" ht="15.6" customHeight="1" x14ac:dyDescent="0.3">
      <c r="A26" s="438" t="s">
        <v>162</v>
      </c>
      <c r="B26" s="438"/>
      <c r="C26" s="50">
        <v>2000</v>
      </c>
      <c r="D26" s="46">
        <v>4500</v>
      </c>
      <c r="E26" s="46">
        <v>4950</v>
      </c>
      <c r="F26" s="46">
        <v>5400</v>
      </c>
      <c r="G26" s="46">
        <v>6530</v>
      </c>
      <c r="H26" s="107"/>
      <c r="I26" s="107"/>
    </row>
    <row r="27" spans="1:17" ht="15.6" customHeight="1" outlineLevel="1" x14ac:dyDescent="0.3">
      <c r="A27" s="438"/>
      <c r="B27" s="438"/>
      <c r="C27" s="309">
        <v>2100</v>
      </c>
      <c r="D27" s="46">
        <f>D26*(1+$H$37)</f>
        <v>4950</v>
      </c>
      <c r="E27" s="46">
        <f>E26*(1+$H$37)</f>
        <v>5445</v>
      </c>
      <c r="F27" s="46">
        <f>F26*(1+$H$37)</f>
        <v>5940.0000000000009</v>
      </c>
      <c r="G27" s="46">
        <f>G26*(1+$H$37)</f>
        <v>7183.0000000000009</v>
      </c>
      <c r="H27" s="107"/>
      <c r="I27" s="107"/>
    </row>
    <row r="28" spans="1:17" ht="15.6" customHeight="1" outlineLevel="1" x14ac:dyDescent="0.3">
      <c r="A28" s="438"/>
      <c r="B28" s="438"/>
      <c r="C28" s="309">
        <v>2200</v>
      </c>
      <c r="D28" s="46">
        <f>D26*(1+$H$38)</f>
        <v>5400</v>
      </c>
      <c r="E28" s="46">
        <f t="shared" ref="E28:F28" si="2">E26*(1+$H$38)</f>
        <v>5940</v>
      </c>
      <c r="F28" s="46">
        <f t="shared" si="2"/>
        <v>6480</v>
      </c>
      <c r="G28" s="46">
        <f>G26*(1+$H$38)</f>
        <v>7836</v>
      </c>
      <c r="H28" s="107"/>
      <c r="I28" s="107"/>
    </row>
    <row r="29" spans="1:17" ht="15.6" customHeight="1" outlineLevel="1" x14ac:dyDescent="0.3">
      <c r="A29" s="438"/>
      <c r="B29" s="438"/>
      <c r="C29" s="309">
        <v>2300</v>
      </c>
      <c r="D29" s="46">
        <f>D26*(1+$H$39)</f>
        <v>5850</v>
      </c>
      <c r="E29" s="46">
        <f>E26*(1+$H$39)</f>
        <v>6435</v>
      </c>
      <c r="F29" s="46">
        <f>F26*(1+$H$39)</f>
        <v>7020</v>
      </c>
      <c r="G29" s="46">
        <f>G26*(1+$H$39)</f>
        <v>8489</v>
      </c>
      <c r="H29" s="107"/>
      <c r="I29" s="107"/>
    </row>
    <row r="30" spans="1:17" ht="15.6" customHeight="1" outlineLevel="1" x14ac:dyDescent="0.3">
      <c r="A30" s="438"/>
      <c r="B30" s="438"/>
      <c r="C30" s="309">
        <v>2400</v>
      </c>
      <c r="D30" s="46">
        <f>D26*(1+$H$40)</f>
        <v>6300</v>
      </c>
      <c r="E30" s="46">
        <f>E26*(1+$H$40)</f>
        <v>6930</v>
      </c>
      <c r="F30" s="46">
        <f>F26*(1+$H$40)</f>
        <v>7559.9999999999991</v>
      </c>
      <c r="G30" s="46">
        <f>G26*(1+$H$40)</f>
        <v>9142</v>
      </c>
      <c r="H30" s="107"/>
      <c r="I30" s="107"/>
    </row>
    <row r="31" spans="1:17" ht="15.6" customHeight="1" x14ac:dyDescent="0.3">
      <c r="A31" s="63"/>
      <c r="B31" s="36"/>
      <c r="C31" s="36"/>
      <c r="D31" s="36"/>
      <c r="E31" s="36"/>
      <c r="F31" s="36"/>
      <c r="G31" s="36"/>
    </row>
    <row r="32" spans="1:17" ht="15.6" customHeight="1" x14ac:dyDescent="0.3">
      <c r="A32" s="63"/>
      <c r="B32" s="36"/>
      <c r="C32" s="36"/>
      <c r="D32" s="36"/>
      <c r="E32" s="36"/>
      <c r="F32" s="36"/>
      <c r="G32" s="36"/>
    </row>
    <row r="33" spans="1:15" ht="15.6" customHeight="1" x14ac:dyDescent="0.3">
      <c r="A33" s="408" t="s">
        <v>152</v>
      </c>
      <c r="B33" s="409"/>
      <c r="C33" s="409"/>
      <c r="D33" s="409"/>
      <c r="E33" s="409">
        <v>1.1000000000000001</v>
      </c>
      <c r="F33" s="409">
        <v>1.2</v>
      </c>
      <c r="G33" s="410">
        <v>1.45</v>
      </c>
    </row>
    <row r="34" spans="1:15" ht="15.6" customHeight="1" x14ac:dyDescent="0.3">
      <c r="A34" s="451" t="s">
        <v>83</v>
      </c>
      <c r="B34" s="452"/>
      <c r="C34" s="439" t="s">
        <v>153</v>
      </c>
      <c r="D34" s="440"/>
      <c r="E34" s="440"/>
      <c r="F34" s="440"/>
      <c r="G34" s="440"/>
      <c r="H34" s="107"/>
      <c r="I34" s="107"/>
    </row>
    <row r="35" spans="1:15" ht="21.75" customHeight="1" x14ac:dyDescent="0.3">
      <c r="A35" s="453"/>
      <c r="B35" s="454"/>
      <c r="C35" s="237" t="s">
        <v>65</v>
      </c>
      <c r="D35" s="237" t="s">
        <v>66</v>
      </c>
      <c r="E35" s="237" t="s">
        <v>155</v>
      </c>
      <c r="F35" s="237" t="s">
        <v>156</v>
      </c>
      <c r="G35" s="237" t="s">
        <v>157</v>
      </c>
      <c r="H35" s="107"/>
      <c r="I35" s="107"/>
    </row>
    <row r="36" spans="1:15" ht="15.6" customHeight="1" x14ac:dyDescent="0.3">
      <c r="A36" s="396" t="s">
        <v>161</v>
      </c>
      <c r="B36" s="396"/>
      <c r="C36" s="404" t="s">
        <v>67</v>
      </c>
      <c r="D36" s="50">
        <v>2000</v>
      </c>
      <c r="E36" s="46">
        <v>9400</v>
      </c>
      <c r="F36" s="46">
        <v>13500</v>
      </c>
      <c r="G36" s="46">
        <f>F36</f>
        <v>13500</v>
      </c>
      <c r="H36" s="286" t="s">
        <v>70</v>
      </c>
      <c r="I36" s="107"/>
      <c r="J36" s="46">
        <v>9000</v>
      </c>
      <c r="K36" s="46">
        <v>13000</v>
      </c>
      <c r="L36" s="46">
        <v>13000</v>
      </c>
      <c r="M36" s="311">
        <f>E36/J36-1</f>
        <v>4.4444444444444509E-2</v>
      </c>
      <c r="N36" s="311">
        <f t="shared" ref="N36:O44" si="3">F36/K36-1</f>
        <v>3.8461538461538547E-2</v>
      </c>
      <c r="O36" s="311">
        <f t="shared" si="3"/>
        <v>3.8461538461538547E-2</v>
      </c>
    </row>
    <row r="37" spans="1:15" ht="15.6" customHeight="1" outlineLevel="1" x14ac:dyDescent="0.3">
      <c r="A37" s="396"/>
      <c r="B37" s="396"/>
      <c r="C37" s="404"/>
      <c r="D37" s="309">
        <v>2100</v>
      </c>
      <c r="E37" s="46">
        <f>E36*(1+H37)</f>
        <v>10340</v>
      </c>
      <c r="F37" s="46">
        <f>F36*(1+H37)</f>
        <v>14850.000000000002</v>
      </c>
      <c r="G37" s="46">
        <f t="shared" ref="G37:G45" si="4">F37</f>
        <v>14850.000000000002</v>
      </c>
      <c r="H37" s="286">
        <v>0.1</v>
      </c>
      <c r="I37" s="107"/>
      <c r="J37" s="46">
        <v>9900</v>
      </c>
      <c r="K37" s="46">
        <v>14300.000000000002</v>
      </c>
      <c r="L37" s="46">
        <v>14300.000000000002</v>
      </c>
      <c r="M37" s="311">
        <f t="shared" ref="M37:M44" si="5">E37/J37-1</f>
        <v>4.4444444444444509E-2</v>
      </c>
      <c r="N37" s="311">
        <f t="shared" si="3"/>
        <v>3.8461538461538547E-2</v>
      </c>
      <c r="O37" s="311">
        <f t="shared" si="3"/>
        <v>3.8461538461538547E-2</v>
      </c>
    </row>
    <row r="38" spans="1:15" ht="15.6" customHeight="1" outlineLevel="1" x14ac:dyDescent="0.3">
      <c r="A38" s="396"/>
      <c r="B38" s="396"/>
      <c r="C38" s="404"/>
      <c r="D38" s="309">
        <v>2200</v>
      </c>
      <c r="E38" s="46">
        <f>E36*(1+H38)</f>
        <v>11280</v>
      </c>
      <c r="F38" s="46">
        <f>F36*(1+H38)</f>
        <v>16200</v>
      </c>
      <c r="G38" s="46">
        <f t="shared" si="4"/>
        <v>16200</v>
      </c>
      <c r="H38" s="286">
        <v>0.2</v>
      </c>
      <c r="I38" s="107"/>
      <c r="J38" s="46">
        <v>10800</v>
      </c>
      <c r="K38" s="46">
        <v>15600</v>
      </c>
      <c r="L38" s="46">
        <v>15600</v>
      </c>
      <c r="M38" s="311">
        <f t="shared" si="5"/>
        <v>4.4444444444444509E-2</v>
      </c>
      <c r="N38" s="311">
        <f t="shared" si="3"/>
        <v>3.8461538461538547E-2</v>
      </c>
      <c r="O38" s="311">
        <f t="shared" si="3"/>
        <v>3.8461538461538547E-2</v>
      </c>
    </row>
    <row r="39" spans="1:15" ht="15.6" customHeight="1" outlineLevel="1" x14ac:dyDescent="0.3">
      <c r="A39" s="396"/>
      <c r="B39" s="396"/>
      <c r="C39" s="404"/>
      <c r="D39" s="309">
        <v>2300</v>
      </c>
      <c r="E39" s="46">
        <f>E36*(1+H39)</f>
        <v>12220</v>
      </c>
      <c r="F39" s="46">
        <f>F36*(1+H39)</f>
        <v>17550</v>
      </c>
      <c r="G39" s="46">
        <f t="shared" si="4"/>
        <v>17550</v>
      </c>
      <c r="H39" s="286">
        <v>0.3</v>
      </c>
      <c r="I39" s="107"/>
      <c r="J39" s="46">
        <v>11700</v>
      </c>
      <c r="K39" s="46">
        <v>16900</v>
      </c>
      <c r="L39" s="46">
        <v>16900</v>
      </c>
      <c r="M39" s="311">
        <f t="shared" si="5"/>
        <v>4.4444444444444509E-2</v>
      </c>
      <c r="N39" s="311">
        <f t="shared" si="3"/>
        <v>3.8461538461538547E-2</v>
      </c>
      <c r="O39" s="311">
        <f t="shared" si="3"/>
        <v>3.8461538461538547E-2</v>
      </c>
    </row>
    <row r="40" spans="1:15" ht="15.6" customHeight="1" outlineLevel="1" x14ac:dyDescent="0.3">
      <c r="A40" s="396"/>
      <c r="B40" s="396"/>
      <c r="C40" s="404"/>
      <c r="D40" s="309">
        <v>2400</v>
      </c>
      <c r="E40" s="46">
        <f>CEILING(E36*(1+H40),10)</f>
        <v>13160</v>
      </c>
      <c r="F40" s="46">
        <f>F36*(1+H40)</f>
        <v>18900</v>
      </c>
      <c r="G40" s="46">
        <f t="shared" si="4"/>
        <v>18900</v>
      </c>
      <c r="H40" s="286">
        <v>0.4</v>
      </c>
      <c r="I40" s="107"/>
      <c r="J40" s="46"/>
      <c r="K40" s="46"/>
      <c r="L40" s="46"/>
      <c r="M40" s="311"/>
      <c r="N40" s="311"/>
      <c r="O40" s="311"/>
    </row>
    <row r="41" spans="1:15" ht="15.6" customHeight="1" x14ac:dyDescent="0.3">
      <c r="A41" s="396"/>
      <c r="B41" s="396"/>
      <c r="C41" s="404">
        <v>900</v>
      </c>
      <c r="D41" s="50">
        <v>2000</v>
      </c>
      <c r="E41" s="46">
        <f>E36*1.1</f>
        <v>10340</v>
      </c>
      <c r="F41" s="46">
        <f t="shared" ref="F41" si="6">F36*1.1</f>
        <v>14850.000000000002</v>
      </c>
      <c r="G41" s="46">
        <f t="shared" si="4"/>
        <v>14850.000000000002</v>
      </c>
      <c r="H41" s="286" t="s">
        <v>70</v>
      </c>
      <c r="I41" s="107"/>
      <c r="J41" s="46">
        <v>9900</v>
      </c>
      <c r="K41" s="46">
        <v>14300.000000000002</v>
      </c>
      <c r="L41" s="46">
        <v>14300.000000000002</v>
      </c>
      <c r="M41" s="311">
        <f t="shared" si="5"/>
        <v>4.4444444444444509E-2</v>
      </c>
      <c r="N41" s="311">
        <f t="shared" si="3"/>
        <v>3.8461538461538547E-2</v>
      </c>
      <c r="O41" s="311">
        <f t="shared" si="3"/>
        <v>3.8461538461538547E-2</v>
      </c>
    </row>
    <row r="42" spans="1:15" ht="15.6" customHeight="1" outlineLevel="1" x14ac:dyDescent="0.3">
      <c r="A42" s="396"/>
      <c r="B42" s="396"/>
      <c r="C42" s="404"/>
      <c r="D42" s="309">
        <v>2100</v>
      </c>
      <c r="E42" s="46">
        <f t="shared" ref="E42:F45" si="7">E37*1.1</f>
        <v>11374.000000000002</v>
      </c>
      <c r="F42" s="46">
        <f>F37*1.1</f>
        <v>16335.000000000004</v>
      </c>
      <c r="G42" s="46">
        <f t="shared" si="4"/>
        <v>16335.000000000004</v>
      </c>
      <c r="H42" s="286">
        <v>0.1</v>
      </c>
      <c r="I42" s="107"/>
      <c r="J42" s="46">
        <v>10890</v>
      </c>
      <c r="K42" s="46">
        <v>15730.000000000004</v>
      </c>
      <c r="L42" s="46">
        <v>15730.000000000004</v>
      </c>
      <c r="M42" s="311">
        <f t="shared" si="5"/>
        <v>4.4444444444444509E-2</v>
      </c>
      <c r="N42" s="311">
        <f t="shared" si="3"/>
        <v>3.8461538461538547E-2</v>
      </c>
      <c r="O42" s="311">
        <f t="shared" si="3"/>
        <v>3.8461538461538547E-2</v>
      </c>
    </row>
    <row r="43" spans="1:15" ht="15.6" customHeight="1" outlineLevel="1" x14ac:dyDescent="0.3">
      <c r="A43" s="396"/>
      <c r="B43" s="396"/>
      <c r="C43" s="404"/>
      <c r="D43" s="309">
        <v>2200</v>
      </c>
      <c r="E43" s="46">
        <f>E38*1.1</f>
        <v>12408.000000000002</v>
      </c>
      <c r="F43" s="46">
        <f t="shared" si="7"/>
        <v>17820</v>
      </c>
      <c r="G43" s="46">
        <f t="shared" si="4"/>
        <v>17820</v>
      </c>
      <c r="H43" s="286">
        <v>0.2</v>
      </c>
      <c r="I43" s="107"/>
      <c r="J43" s="46">
        <v>11880.000000000002</v>
      </c>
      <c r="K43" s="46">
        <v>17160</v>
      </c>
      <c r="L43" s="46">
        <v>17160</v>
      </c>
      <c r="M43" s="311">
        <f t="shared" si="5"/>
        <v>4.4444444444444509E-2</v>
      </c>
      <c r="N43" s="311">
        <f t="shared" si="3"/>
        <v>3.8461538461538547E-2</v>
      </c>
      <c r="O43" s="311">
        <f t="shared" si="3"/>
        <v>3.8461538461538547E-2</v>
      </c>
    </row>
    <row r="44" spans="1:15" ht="15.6" customHeight="1" outlineLevel="1" x14ac:dyDescent="0.3">
      <c r="A44" s="396"/>
      <c r="B44" s="396"/>
      <c r="C44" s="404"/>
      <c r="D44" s="309">
        <v>2300</v>
      </c>
      <c r="E44" s="46">
        <f>E39*1.1</f>
        <v>13442.000000000002</v>
      </c>
      <c r="F44" s="46">
        <f t="shared" si="7"/>
        <v>19305</v>
      </c>
      <c r="G44" s="46">
        <f t="shared" si="4"/>
        <v>19305</v>
      </c>
      <c r="H44" s="286">
        <v>0.3</v>
      </c>
      <c r="I44" s="107"/>
      <c r="J44" s="46">
        <v>12870.000000000002</v>
      </c>
      <c r="K44" s="46">
        <v>18590</v>
      </c>
      <c r="L44" s="46">
        <v>18590</v>
      </c>
      <c r="M44" s="311">
        <f t="shared" si="5"/>
        <v>4.4444444444444509E-2</v>
      </c>
      <c r="N44" s="311">
        <f t="shared" si="3"/>
        <v>3.8461538461538547E-2</v>
      </c>
      <c r="O44" s="311">
        <f t="shared" si="3"/>
        <v>3.8461538461538547E-2</v>
      </c>
    </row>
    <row r="45" spans="1:15" ht="15.6" customHeight="1" outlineLevel="1" x14ac:dyDescent="0.3">
      <c r="A45" s="396"/>
      <c r="B45" s="396"/>
      <c r="C45" s="404"/>
      <c r="D45" s="309">
        <v>2400</v>
      </c>
      <c r="E45" s="46">
        <f>E40*1.1</f>
        <v>14476.000000000002</v>
      </c>
      <c r="F45" s="46">
        <f t="shared" si="7"/>
        <v>20790</v>
      </c>
      <c r="G45" s="46">
        <f t="shared" si="4"/>
        <v>20790</v>
      </c>
      <c r="H45" s="286">
        <v>0.4</v>
      </c>
      <c r="I45" s="107"/>
      <c r="J45" s="46"/>
      <c r="K45" s="46"/>
      <c r="L45" s="46"/>
      <c r="M45" s="311"/>
      <c r="N45" s="311"/>
      <c r="O45" s="311"/>
    </row>
    <row r="46" spans="1:15" ht="15.6" customHeight="1" x14ac:dyDescent="0.3">
      <c r="A46" s="238"/>
      <c r="B46" s="239"/>
      <c r="C46" s="439" t="s">
        <v>159</v>
      </c>
      <c r="D46" s="440"/>
      <c r="E46" s="440"/>
      <c r="F46" s="440"/>
      <c r="G46" s="441"/>
      <c r="H46" s="107"/>
      <c r="I46" s="107"/>
      <c r="J46" s="46"/>
      <c r="K46" s="46"/>
      <c r="L46" s="46"/>
    </row>
    <row r="47" spans="1:15" ht="15.6" customHeight="1" x14ac:dyDescent="0.3">
      <c r="A47" s="396" t="s">
        <v>161</v>
      </c>
      <c r="B47" s="396"/>
      <c r="C47" s="404" t="s">
        <v>67</v>
      </c>
      <c r="D47" s="50">
        <v>2000</v>
      </c>
      <c r="E47" s="46">
        <v>15100</v>
      </c>
      <c r="F47" s="46">
        <v>19300</v>
      </c>
      <c r="G47" s="46">
        <f>F47</f>
        <v>19300</v>
      </c>
      <c r="H47" s="107"/>
      <c r="I47" s="107"/>
      <c r="J47" s="46">
        <v>14500</v>
      </c>
      <c r="K47" s="46">
        <v>18600</v>
      </c>
      <c r="L47" s="46">
        <v>18600</v>
      </c>
      <c r="M47" s="311">
        <f>E47/J47-1</f>
        <v>4.1379310344827669E-2</v>
      </c>
      <c r="N47" s="311">
        <f t="shared" ref="N47:O55" si="8">F47/K47-1</f>
        <v>3.7634408602150504E-2</v>
      </c>
      <c r="O47" s="311">
        <f t="shared" si="8"/>
        <v>3.7634408602150504E-2</v>
      </c>
    </row>
    <row r="48" spans="1:15" ht="15.6" customHeight="1" outlineLevel="1" x14ac:dyDescent="0.3">
      <c r="A48" s="396"/>
      <c r="B48" s="396"/>
      <c r="C48" s="404"/>
      <c r="D48" s="309">
        <v>2100</v>
      </c>
      <c r="E48" s="46">
        <f>CEILING(E47*(1+H37), 10)</f>
        <v>16610</v>
      </c>
      <c r="F48" s="46">
        <f>F47*(1+H37)</f>
        <v>21230</v>
      </c>
      <c r="G48" s="46">
        <f>G47*(1+H37)</f>
        <v>21230</v>
      </c>
      <c r="H48" s="107"/>
      <c r="I48" s="107"/>
      <c r="J48" s="46">
        <v>15950.000000000002</v>
      </c>
      <c r="K48" s="46">
        <v>20460</v>
      </c>
      <c r="L48" s="46">
        <v>20460</v>
      </c>
      <c r="M48" s="311">
        <f t="shared" ref="M48:M55" si="9">E48/J48-1</f>
        <v>4.1379310344827447E-2</v>
      </c>
      <c r="N48" s="311">
        <f t="shared" si="8"/>
        <v>3.7634408602150504E-2</v>
      </c>
      <c r="O48" s="311">
        <f t="shared" si="8"/>
        <v>3.7634408602150504E-2</v>
      </c>
    </row>
    <row r="49" spans="1:15" ht="15.6" customHeight="1" outlineLevel="1" x14ac:dyDescent="0.3">
      <c r="A49" s="396"/>
      <c r="B49" s="396"/>
      <c r="C49" s="404"/>
      <c r="D49" s="309">
        <v>2200</v>
      </c>
      <c r="E49" s="46">
        <f>CEILING(E47*(1+H38), 10)</f>
        <v>18120</v>
      </c>
      <c r="F49" s="46">
        <f>F47*(1+H38)</f>
        <v>23160</v>
      </c>
      <c r="G49" s="46">
        <f>G47*(1+H38)</f>
        <v>23160</v>
      </c>
      <c r="H49" s="107"/>
      <c r="I49" s="107"/>
      <c r="J49" s="46">
        <v>17400</v>
      </c>
      <c r="K49" s="46">
        <v>22320</v>
      </c>
      <c r="L49" s="46">
        <v>22320</v>
      </c>
      <c r="M49" s="311">
        <f t="shared" si="9"/>
        <v>4.1379310344827669E-2</v>
      </c>
      <c r="N49" s="311">
        <f t="shared" si="8"/>
        <v>3.7634408602150504E-2</v>
      </c>
      <c r="O49" s="311">
        <f t="shared" si="8"/>
        <v>3.7634408602150504E-2</v>
      </c>
    </row>
    <row r="50" spans="1:15" ht="15.6" customHeight="1" outlineLevel="1" x14ac:dyDescent="0.3">
      <c r="A50" s="396"/>
      <c r="B50" s="396"/>
      <c r="C50" s="404"/>
      <c r="D50" s="309">
        <v>2300</v>
      </c>
      <c r="E50" s="46">
        <f>E47*(1+H39)</f>
        <v>19630</v>
      </c>
      <c r="F50" s="46">
        <f>F47*(1+H39)</f>
        <v>25090</v>
      </c>
      <c r="G50" s="46">
        <f>G47*(1+H39)</f>
        <v>25090</v>
      </c>
      <c r="H50" s="107"/>
      <c r="I50" s="107"/>
      <c r="J50" s="46">
        <v>18850</v>
      </c>
      <c r="K50" s="46">
        <v>24180</v>
      </c>
      <c r="L50" s="46">
        <v>24180</v>
      </c>
      <c r="M50" s="311">
        <f t="shared" si="9"/>
        <v>4.1379310344827669E-2</v>
      </c>
      <c r="N50" s="311">
        <f t="shared" si="8"/>
        <v>3.7634408602150504E-2</v>
      </c>
      <c r="O50" s="311">
        <f t="shared" si="8"/>
        <v>3.7634408602150504E-2</v>
      </c>
    </row>
    <row r="51" spans="1:15" ht="15.6" customHeight="1" outlineLevel="1" x14ac:dyDescent="0.3">
      <c r="A51" s="396"/>
      <c r="B51" s="396"/>
      <c r="C51" s="404"/>
      <c r="D51" s="309">
        <v>2400</v>
      </c>
      <c r="E51" s="46">
        <f>E47*(1+H40)</f>
        <v>21140</v>
      </c>
      <c r="F51" s="46">
        <f>F47*(1+H40)</f>
        <v>27020</v>
      </c>
      <c r="G51" s="46">
        <f>G47*(1+H40)</f>
        <v>27020</v>
      </c>
      <c r="H51" s="107"/>
      <c r="I51" s="107"/>
      <c r="J51" s="46"/>
      <c r="K51" s="46"/>
      <c r="L51" s="46"/>
      <c r="M51" s="311"/>
      <c r="N51" s="311"/>
      <c r="O51" s="311"/>
    </row>
    <row r="52" spans="1:15" ht="15.6" customHeight="1" x14ac:dyDescent="0.3">
      <c r="A52" s="396"/>
      <c r="B52" s="396"/>
      <c r="C52" s="404">
        <v>900</v>
      </c>
      <c r="D52" s="50">
        <v>2000</v>
      </c>
      <c r="E52" s="46">
        <f>E47*1.1</f>
        <v>16610</v>
      </c>
      <c r="F52" s="46">
        <f>F47*1.1</f>
        <v>21230</v>
      </c>
      <c r="G52" s="46">
        <f t="shared" ref="G52" si="10">G47*1.1</f>
        <v>21230</v>
      </c>
      <c r="H52" s="107"/>
      <c r="I52" s="107"/>
      <c r="J52" s="46">
        <v>15950.000000000002</v>
      </c>
      <c r="K52" s="46">
        <v>20460</v>
      </c>
      <c r="L52" s="46">
        <v>20460</v>
      </c>
      <c r="M52" s="311">
        <f t="shared" si="9"/>
        <v>4.1379310344827447E-2</v>
      </c>
      <c r="N52" s="311">
        <f t="shared" si="8"/>
        <v>3.7634408602150504E-2</v>
      </c>
      <c r="O52" s="311">
        <f t="shared" si="8"/>
        <v>3.7634408602150504E-2</v>
      </c>
    </row>
    <row r="53" spans="1:15" ht="15.6" customHeight="1" outlineLevel="1" x14ac:dyDescent="0.3">
      <c r="A53" s="396"/>
      <c r="B53" s="396"/>
      <c r="C53" s="404"/>
      <c r="D53" s="309">
        <v>2100</v>
      </c>
      <c r="E53" s="46">
        <f t="shared" ref="E53:F56" si="11">CEILING(E48*1.1, 10)</f>
        <v>18280</v>
      </c>
      <c r="F53" s="46">
        <f t="shared" si="11"/>
        <v>23360</v>
      </c>
      <c r="G53" s="46">
        <f t="shared" ref="G53:G56" si="12">G48*1.1</f>
        <v>23353.000000000004</v>
      </c>
      <c r="H53" s="107"/>
      <c r="I53" s="107"/>
      <c r="J53" s="46">
        <v>17545.000000000004</v>
      </c>
      <c r="K53" s="46">
        <v>22506</v>
      </c>
      <c r="L53" s="46">
        <v>22506</v>
      </c>
      <c r="M53" s="311">
        <f t="shared" si="9"/>
        <v>4.1892277001994715E-2</v>
      </c>
      <c r="N53" s="311">
        <f t="shared" si="8"/>
        <v>3.7945436772416352E-2</v>
      </c>
      <c r="O53" s="311">
        <f t="shared" si="8"/>
        <v>3.7634408602150726E-2</v>
      </c>
    </row>
    <row r="54" spans="1:15" ht="15.6" customHeight="1" outlineLevel="1" x14ac:dyDescent="0.3">
      <c r="A54" s="396"/>
      <c r="B54" s="396"/>
      <c r="C54" s="404"/>
      <c r="D54" s="309">
        <v>2200</v>
      </c>
      <c r="E54" s="46">
        <f t="shared" si="11"/>
        <v>19940</v>
      </c>
      <c r="F54" s="46">
        <f t="shared" si="11"/>
        <v>25480</v>
      </c>
      <c r="G54" s="46">
        <f t="shared" si="12"/>
        <v>25476.000000000004</v>
      </c>
      <c r="H54" s="107"/>
      <c r="I54" s="107"/>
      <c r="J54" s="46">
        <v>19140</v>
      </c>
      <c r="K54" s="46">
        <v>24552.000000000004</v>
      </c>
      <c r="L54" s="46">
        <v>24552.000000000004</v>
      </c>
      <c r="M54" s="311">
        <f t="shared" si="9"/>
        <v>4.1797283176593591E-2</v>
      </c>
      <c r="N54" s="311">
        <f t="shared" si="8"/>
        <v>3.7797328119908657E-2</v>
      </c>
      <c r="O54" s="311">
        <f t="shared" si="8"/>
        <v>3.7634408602150504E-2</v>
      </c>
    </row>
    <row r="55" spans="1:15" ht="15.6" customHeight="1" outlineLevel="1" x14ac:dyDescent="0.3">
      <c r="A55" s="396"/>
      <c r="B55" s="396"/>
      <c r="C55" s="404"/>
      <c r="D55" s="309">
        <v>2300</v>
      </c>
      <c r="E55" s="46">
        <f t="shared" si="11"/>
        <v>21600</v>
      </c>
      <c r="F55" s="46">
        <f t="shared" si="11"/>
        <v>27600</v>
      </c>
      <c r="G55" s="46">
        <f t="shared" si="12"/>
        <v>27599.000000000004</v>
      </c>
      <c r="H55" s="107"/>
      <c r="I55" s="107"/>
      <c r="J55" s="46">
        <v>20735</v>
      </c>
      <c r="K55" s="46">
        <v>26598.000000000004</v>
      </c>
      <c r="L55" s="46">
        <v>26598.000000000004</v>
      </c>
      <c r="M55" s="311">
        <f t="shared" si="9"/>
        <v>4.1716903785869341E-2</v>
      </c>
      <c r="N55" s="311">
        <f t="shared" si="8"/>
        <v>3.7672005413940779E-2</v>
      </c>
      <c r="O55" s="311">
        <f t="shared" si="8"/>
        <v>3.7634408602150504E-2</v>
      </c>
    </row>
    <row r="56" spans="1:15" ht="15.6" customHeight="1" outlineLevel="1" x14ac:dyDescent="0.3">
      <c r="A56" s="396"/>
      <c r="B56" s="396"/>
      <c r="C56" s="404"/>
      <c r="D56" s="309">
        <v>2400</v>
      </c>
      <c r="E56" s="46">
        <f t="shared" si="11"/>
        <v>23260</v>
      </c>
      <c r="F56" s="46">
        <f t="shared" si="11"/>
        <v>29730</v>
      </c>
      <c r="G56" s="46">
        <f t="shared" si="12"/>
        <v>29722.000000000004</v>
      </c>
      <c r="H56" s="107"/>
      <c r="I56" s="107"/>
      <c r="J56" s="46"/>
      <c r="K56" s="46"/>
      <c r="L56" s="46"/>
      <c r="M56" s="311"/>
      <c r="N56" s="311"/>
      <c r="O56" s="311"/>
    </row>
    <row r="57" spans="1:15" ht="15.6" customHeight="1" x14ac:dyDescent="0.3">
      <c r="A57" s="114"/>
      <c r="B57" s="115"/>
      <c r="C57" s="439" t="s">
        <v>154</v>
      </c>
      <c r="D57" s="440"/>
      <c r="E57" s="440"/>
      <c r="F57" s="440"/>
      <c r="G57" s="441"/>
      <c r="H57" s="107"/>
      <c r="I57" s="107"/>
      <c r="J57" s="46"/>
      <c r="K57" s="46"/>
      <c r="L57" s="46"/>
    </row>
    <row r="58" spans="1:15" ht="48" customHeight="1" x14ac:dyDescent="0.3">
      <c r="A58" s="116"/>
      <c r="B58" s="117"/>
      <c r="C58" s="237" t="s">
        <v>65</v>
      </c>
      <c r="D58" s="237" t="s">
        <v>66</v>
      </c>
      <c r="E58" s="237" t="s">
        <v>325</v>
      </c>
      <c r="F58" s="237" t="s">
        <v>391</v>
      </c>
      <c r="G58" s="238" t="s">
        <v>158</v>
      </c>
      <c r="H58" s="107"/>
      <c r="I58" s="107"/>
      <c r="J58" s="46"/>
      <c r="K58" s="46"/>
      <c r="L58" s="46"/>
    </row>
    <row r="59" spans="1:15" ht="15.6" customHeight="1" x14ac:dyDescent="0.3">
      <c r="A59" s="396" t="s">
        <v>161</v>
      </c>
      <c r="B59" s="396"/>
      <c r="C59" s="404" t="s">
        <v>67</v>
      </c>
      <c r="D59" s="50">
        <v>2000</v>
      </c>
      <c r="E59" s="46">
        <v>7800</v>
      </c>
      <c r="F59" s="46">
        <f>CEILING(E59*1.1, 50)</f>
        <v>8600</v>
      </c>
      <c r="G59" s="46">
        <f>CEILING(E59*1.3, 50)</f>
        <v>10150</v>
      </c>
      <c r="H59" s="107"/>
      <c r="I59" s="107"/>
      <c r="J59" s="46">
        <v>7500</v>
      </c>
      <c r="K59" s="46">
        <v>8250</v>
      </c>
      <c r="L59" s="46">
        <v>9750</v>
      </c>
      <c r="M59" s="311">
        <f>E59/J59-1</f>
        <v>4.0000000000000036E-2</v>
      </c>
      <c r="N59" s="311">
        <f t="shared" ref="N59:O67" si="13">F59/K59-1</f>
        <v>4.2424242424242475E-2</v>
      </c>
      <c r="O59" s="311">
        <f t="shared" si="13"/>
        <v>4.1025641025641102E-2</v>
      </c>
    </row>
    <row r="60" spans="1:15" ht="15.6" customHeight="1" outlineLevel="1" x14ac:dyDescent="0.3">
      <c r="A60" s="396"/>
      <c r="B60" s="396"/>
      <c r="C60" s="404"/>
      <c r="D60" s="309">
        <v>2100</v>
      </c>
      <c r="E60" s="46">
        <f>E59*(1+H37)</f>
        <v>8580</v>
      </c>
      <c r="F60" s="46">
        <f t="shared" ref="F60:F66" si="14">CEILING(E60*1.1, 50)</f>
        <v>9450</v>
      </c>
      <c r="G60" s="46">
        <f t="shared" ref="G60:G67" si="15">CEILING(E60*1.3, 50)</f>
        <v>11200</v>
      </c>
      <c r="H60" s="107"/>
      <c r="I60" s="107"/>
      <c r="J60" s="46">
        <v>8250</v>
      </c>
      <c r="K60" s="46">
        <v>9100</v>
      </c>
      <c r="L60" s="46">
        <v>10750</v>
      </c>
      <c r="M60" s="311">
        <f t="shared" ref="M60:M67" si="16">E60/J60-1</f>
        <v>4.0000000000000036E-2</v>
      </c>
      <c r="N60" s="311">
        <f t="shared" si="13"/>
        <v>3.8461538461538547E-2</v>
      </c>
      <c r="O60" s="311">
        <f t="shared" si="13"/>
        <v>4.1860465116279055E-2</v>
      </c>
    </row>
    <row r="61" spans="1:15" ht="15.6" customHeight="1" outlineLevel="1" x14ac:dyDescent="0.3">
      <c r="A61" s="396"/>
      <c r="B61" s="396"/>
      <c r="C61" s="404"/>
      <c r="D61" s="309">
        <v>2200</v>
      </c>
      <c r="E61" s="46">
        <f>E59*(1+H38)</f>
        <v>9360</v>
      </c>
      <c r="F61" s="46">
        <f t="shared" si="14"/>
        <v>10300</v>
      </c>
      <c r="G61" s="46">
        <f t="shared" si="15"/>
        <v>12200</v>
      </c>
      <c r="H61" s="107"/>
      <c r="I61" s="107"/>
      <c r="J61" s="46">
        <v>9000</v>
      </c>
      <c r="K61" s="46">
        <v>9900</v>
      </c>
      <c r="L61" s="46">
        <v>11700</v>
      </c>
      <c r="M61" s="311">
        <f t="shared" si="16"/>
        <v>4.0000000000000036E-2</v>
      </c>
      <c r="N61" s="311">
        <f t="shared" si="13"/>
        <v>4.0404040404040442E-2</v>
      </c>
      <c r="O61" s="311">
        <f t="shared" si="13"/>
        <v>4.2735042735042805E-2</v>
      </c>
    </row>
    <row r="62" spans="1:15" ht="15.6" customHeight="1" outlineLevel="1" x14ac:dyDescent="0.3">
      <c r="A62" s="396"/>
      <c r="B62" s="396"/>
      <c r="C62" s="404"/>
      <c r="D62" s="309">
        <v>2300</v>
      </c>
      <c r="E62" s="46">
        <f>E59*(1+H39)</f>
        <v>10140</v>
      </c>
      <c r="F62" s="46">
        <f t="shared" si="14"/>
        <v>11200</v>
      </c>
      <c r="G62" s="46">
        <f t="shared" si="15"/>
        <v>13200</v>
      </c>
      <c r="H62" s="107"/>
      <c r="I62" s="107"/>
      <c r="J62" s="46">
        <v>9750</v>
      </c>
      <c r="K62" s="46">
        <v>10750</v>
      </c>
      <c r="L62" s="46">
        <v>12700</v>
      </c>
      <c r="M62" s="311">
        <f t="shared" si="16"/>
        <v>4.0000000000000036E-2</v>
      </c>
      <c r="N62" s="311">
        <f t="shared" si="13"/>
        <v>4.1860465116279055E-2</v>
      </c>
      <c r="O62" s="311">
        <f t="shared" si="13"/>
        <v>3.937007874015741E-2</v>
      </c>
    </row>
    <row r="63" spans="1:15" ht="15.6" customHeight="1" outlineLevel="1" x14ac:dyDescent="0.3">
      <c r="A63" s="396"/>
      <c r="B63" s="396"/>
      <c r="C63" s="404"/>
      <c r="D63" s="309">
        <v>2400</v>
      </c>
      <c r="E63" s="46">
        <f>E59*(1+H40)</f>
        <v>10920</v>
      </c>
      <c r="F63" s="46">
        <f t="shared" si="14"/>
        <v>12050</v>
      </c>
      <c r="G63" s="46">
        <f t="shared" ref="G63" si="17">CEILING(E63*1.3, 50)</f>
        <v>14200</v>
      </c>
      <c r="H63" s="107"/>
      <c r="I63" s="107"/>
      <c r="J63" s="46"/>
      <c r="K63" s="46"/>
      <c r="L63" s="46"/>
      <c r="M63" s="311"/>
      <c r="N63" s="311"/>
      <c r="O63" s="311"/>
    </row>
    <row r="64" spans="1:15" ht="15.6" customHeight="1" x14ac:dyDescent="0.3">
      <c r="A64" s="396"/>
      <c r="B64" s="396"/>
      <c r="C64" s="404">
        <v>900</v>
      </c>
      <c r="D64" s="50">
        <v>2000</v>
      </c>
      <c r="E64" s="46">
        <f>E59*1.1</f>
        <v>8580</v>
      </c>
      <c r="F64" s="46">
        <f t="shared" si="14"/>
        <v>9450</v>
      </c>
      <c r="G64" s="46">
        <f t="shared" si="15"/>
        <v>11200</v>
      </c>
      <c r="H64" s="107"/>
      <c r="I64" s="107"/>
      <c r="J64" s="46">
        <v>8250</v>
      </c>
      <c r="K64" s="46">
        <v>9100</v>
      </c>
      <c r="L64" s="46">
        <v>10750</v>
      </c>
      <c r="M64" s="311">
        <f t="shared" si="16"/>
        <v>4.0000000000000036E-2</v>
      </c>
      <c r="N64" s="311">
        <f t="shared" si="13"/>
        <v>3.8461538461538547E-2</v>
      </c>
      <c r="O64" s="311">
        <f t="shared" si="13"/>
        <v>4.1860465116279055E-2</v>
      </c>
    </row>
    <row r="65" spans="1:15" ht="15.6" customHeight="1" outlineLevel="1" x14ac:dyDescent="0.3">
      <c r="A65" s="396"/>
      <c r="B65" s="396"/>
      <c r="C65" s="404"/>
      <c r="D65" s="309">
        <v>2100</v>
      </c>
      <c r="E65" s="46">
        <f>CEILING(E60*1.1, 10)</f>
        <v>9440</v>
      </c>
      <c r="F65" s="46">
        <f t="shared" si="14"/>
        <v>10400</v>
      </c>
      <c r="G65" s="46">
        <f t="shared" si="15"/>
        <v>12300</v>
      </c>
      <c r="H65" s="107"/>
      <c r="I65" s="107"/>
      <c r="J65" s="46">
        <v>9075</v>
      </c>
      <c r="K65" s="46">
        <v>10000</v>
      </c>
      <c r="L65" s="46">
        <v>11800</v>
      </c>
      <c r="M65" s="311">
        <f t="shared" si="16"/>
        <v>4.0220385674931025E-2</v>
      </c>
      <c r="N65" s="311">
        <f t="shared" si="13"/>
        <v>4.0000000000000036E-2</v>
      </c>
      <c r="O65" s="311">
        <f t="shared" si="13"/>
        <v>4.2372881355932313E-2</v>
      </c>
    </row>
    <row r="66" spans="1:15" ht="15.6" customHeight="1" outlineLevel="1" x14ac:dyDescent="0.3">
      <c r="A66" s="396"/>
      <c r="B66" s="396"/>
      <c r="C66" s="404"/>
      <c r="D66" s="309">
        <v>2200</v>
      </c>
      <c r="E66" s="46">
        <f>CEILING(E61*1.1, 10)</f>
        <v>10300</v>
      </c>
      <c r="F66" s="46">
        <f t="shared" si="14"/>
        <v>11350</v>
      </c>
      <c r="G66" s="46">
        <f t="shared" si="15"/>
        <v>13400</v>
      </c>
      <c r="H66" s="107"/>
      <c r="I66" s="107"/>
      <c r="J66" s="46">
        <v>9900</v>
      </c>
      <c r="K66" s="46">
        <v>10900</v>
      </c>
      <c r="L66" s="46">
        <v>12900</v>
      </c>
      <c r="M66" s="311">
        <f t="shared" si="16"/>
        <v>4.0404040404040442E-2</v>
      </c>
      <c r="N66" s="311">
        <f t="shared" si="13"/>
        <v>4.1284403669724856E-2</v>
      </c>
      <c r="O66" s="311">
        <f t="shared" si="13"/>
        <v>3.8759689922480689E-2</v>
      </c>
    </row>
    <row r="67" spans="1:15" ht="15.6" customHeight="1" outlineLevel="1" x14ac:dyDescent="0.3">
      <c r="A67" s="396"/>
      <c r="B67" s="396"/>
      <c r="C67" s="404"/>
      <c r="D67" s="309">
        <v>2300</v>
      </c>
      <c r="E67" s="46">
        <f>CEILING(E62*1.1, 10)</f>
        <v>11160</v>
      </c>
      <c r="F67" s="46">
        <f>CEILING(E67*1.1, 50)</f>
        <v>12300</v>
      </c>
      <c r="G67" s="46">
        <f t="shared" si="15"/>
        <v>14550</v>
      </c>
      <c r="H67" s="107"/>
      <c r="I67" s="107"/>
      <c r="J67" s="46">
        <v>10725</v>
      </c>
      <c r="K67" s="46">
        <v>11800</v>
      </c>
      <c r="L67" s="46">
        <v>13950</v>
      </c>
      <c r="M67" s="311">
        <f t="shared" si="16"/>
        <v>4.0559440559440496E-2</v>
      </c>
      <c r="N67" s="311">
        <f t="shared" si="13"/>
        <v>4.2372881355932313E-2</v>
      </c>
      <c r="O67" s="311">
        <f t="shared" si="13"/>
        <v>4.3010752688172005E-2</v>
      </c>
    </row>
    <row r="68" spans="1:15" x14ac:dyDescent="0.3">
      <c r="A68" s="396"/>
      <c r="B68" s="396"/>
      <c r="C68" s="404"/>
      <c r="D68" s="309">
        <v>2400</v>
      </c>
      <c r="E68" s="46">
        <f>CEILING(E63*1.1, 10)</f>
        <v>12020</v>
      </c>
      <c r="F68" s="46">
        <f>CEILING(E68*1.1, 50)</f>
        <v>13250</v>
      </c>
      <c r="G68" s="46">
        <f t="shared" ref="G68" si="18">CEILING(E68*1.3, 50)</f>
        <v>15650</v>
      </c>
    </row>
    <row r="69" spans="1:15" x14ac:dyDescent="0.3">
      <c r="A69" s="39"/>
      <c r="B69" s="39"/>
    </row>
    <row r="70" spans="1:15" x14ac:dyDescent="0.3">
      <c r="A70" s="39"/>
      <c r="B70" s="39"/>
    </row>
    <row r="71" spans="1:15" x14ac:dyDescent="0.3">
      <c r="A71" s="39"/>
      <c r="B71" s="39"/>
    </row>
    <row r="72" spans="1:15" x14ac:dyDescent="0.3">
      <c r="A72" s="39"/>
      <c r="B72" s="39"/>
    </row>
    <row r="73" spans="1:15" x14ac:dyDescent="0.3">
      <c r="A73" s="39"/>
      <c r="B73" s="39"/>
    </row>
    <row r="74" spans="1:15" x14ac:dyDescent="0.3">
      <c r="A74" s="39"/>
      <c r="B74" s="39"/>
    </row>
    <row r="75" spans="1:15" x14ac:dyDescent="0.3">
      <c r="A75" s="39"/>
      <c r="B75" s="39"/>
    </row>
    <row r="76" spans="1:15" x14ac:dyDescent="0.3">
      <c r="A76" s="39"/>
      <c r="B76" s="39"/>
    </row>
    <row r="77" spans="1:15" x14ac:dyDescent="0.3">
      <c r="A77" s="39"/>
      <c r="B77" s="39"/>
    </row>
    <row r="78" spans="1:15" x14ac:dyDescent="0.3">
      <c r="A78" s="39"/>
      <c r="B78" s="39"/>
    </row>
    <row r="79" spans="1:15" x14ac:dyDescent="0.3">
      <c r="A79" s="39"/>
      <c r="B79" s="39"/>
    </row>
    <row r="80" spans="1:15" x14ac:dyDescent="0.3">
      <c r="A80" s="39"/>
      <c r="B80" s="39"/>
    </row>
    <row r="81" spans="1:2" x14ac:dyDescent="0.3">
      <c r="A81" s="39"/>
      <c r="B81" s="39"/>
    </row>
    <row r="82" spans="1:2" x14ac:dyDescent="0.3">
      <c r="A82" s="39"/>
      <c r="B82" s="39"/>
    </row>
  </sheetData>
  <mergeCells count="25">
    <mergeCell ref="C52:C56"/>
    <mergeCell ref="A59:B68"/>
    <mergeCell ref="C59:C63"/>
    <mergeCell ref="C64:C68"/>
    <mergeCell ref="A26:B30"/>
    <mergeCell ref="C57:G57"/>
    <mergeCell ref="C46:G46"/>
    <mergeCell ref="A36:B45"/>
    <mergeCell ref="C36:C40"/>
    <mergeCell ref="C41:C45"/>
    <mergeCell ref="A47:B56"/>
    <mergeCell ref="C47:C51"/>
    <mergeCell ref="A33:G33"/>
    <mergeCell ref="A34:B35"/>
    <mergeCell ref="C34:G34"/>
    <mergeCell ref="A24:B25"/>
    <mergeCell ref="D24:G24"/>
    <mergeCell ref="A7:B11"/>
    <mergeCell ref="A12:B16"/>
    <mergeCell ref="A3:G3"/>
    <mergeCell ref="A4:G4"/>
    <mergeCell ref="A5:B6"/>
    <mergeCell ref="D5:G5"/>
    <mergeCell ref="A23:G23"/>
    <mergeCell ref="A17:B21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F63"/>
  <sheetViews>
    <sheetView view="pageBreakPreview" topLeftCell="A43" zoomScale="96" zoomScaleNormal="100" zoomScaleSheetLayoutView="96" workbookViewId="0">
      <selection activeCell="D25" sqref="D25"/>
    </sheetView>
  </sheetViews>
  <sheetFormatPr defaultRowHeight="14.4" outlineLevelRow="1" outlineLevelCol="1" x14ac:dyDescent="0.3"/>
  <cols>
    <col min="1" max="1" width="21.6640625" customWidth="1"/>
    <col min="2" max="2" width="12.109375" customWidth="1" outlineLevel="1"/>
    <col min="3" max="3" width="13" customWidth="1" outlineLevel="1"/>
    <col min="4" max="4" width="12.109375" bestFit="1" customWidth="1"/>
    <col min="5" max="5" width="12.33203125" bestFit="1" customWidth="1"/>
    <col min="6" max="6" width="12.109375" style="49" bestFit="1" customWidth="1"/>
    <col min="7" max="7" width="11.109375" bestFit="1" customWidth="1"/>
    <col min="8" max="8" width="12.109375" bestFit="1" customWidth="1"/>
    <col min="9" max="9" width="12.109375" customWidth="1"/>
    <col min="10" max="10" width="14.5546875" bestFit="1" customWidth="1"/>
    <col min="11" max="11" width="12.33203125" hidden="1" customWidth="1"/>
    <col min="12" max="14" width="12.109375" hidden="1" customWidth="1"/>
    <col min="15" max="23" width="12.109375" customWidth="1"/>
    <col min="24" max="24" width="4.5546875" customWidth="1"/>
    <col min="25" max="25" width="17.5546875" customWidth="1"/>
    <col min="26" max="26" width="11.109375" customWidth="1"/>
    <col min="27" max="27" width="12.5546875" customWidth="1"/>
    <col min="28" max="28" width="14.5546875" customWidth="1"/>
  </cols>
  <sheetData>
    <row r="1" spans="1:32" outlineLevel="1" x14ac:dyDescent="0.3">
      <c r="A1" s="49" t="s">
        <v>62</v>
      </c>
      <c r="B1" t="s">
        <v>393</v>
      </c>
      <c r="I1" t="s">
        <v>417</v>
      </c>
      <c r="J1">
        <v>2000</v>
      </c>
      <c r="O1" t="s">
        <v>62</v>
      </c>
      <c r="P1" t="s">
        <v>393</v>
      </c>
      <c r="Y1" s="49" t="s">
        <v>62</v>
      </c>
      <c r="Z1" s="303" t="s">
        <v>392</v>
      </c>
      <c r="AA1" s="303"/>
    </row>
    <row r="2" spans="1:32" outlineLevel="1" x14ac:dyDescent="0.3">
      <c r="A2" s="161"/>
      <c r="B2" s="491" t="s">
        <v>241</v>
      </c>
      <c r="C2" s="491"/>
      <c r="D2">
        <v>1.05</v>
      </c>
      <c r="E2" s="171" t="s">
        <v>242</v>
      </c>
      <c r="F2" s="165" t="s">
        <v>199</v>
      </c>
      <c r="G2" s="166" t="s">
        <v>200</v>
      </c>
      <c r="H2" s="167" t="s">
        <v>201</v>
      </c>
      <c r="I2" s="174" t="s">
        <v>202</v>
      </c>
      <c r="P2" t="s">
        <v>241</v>
      </c>
      <c r="Y2" s="161"/>
      <c r="Z2" s="491" t="s">
        <v>241</v>
      </c>
      <c r="AA2" s="491"/>
    </row>
    <row r="3" spans="1:32" outlineLevel="1" x14ac:dyDescent="0.3">
      <c r="A3" s="161" t="s">
        <v>198</v>
      </c>
      <c r="B3" s="192" t="s">
        <v>238</v>
      </c>
      <c r="C3" s="180" t="s">
        <v>239</v>
      </c>
      <c r="D3" s="156"/>
      <c r="F3"/>
      <c r="O3" s="161" t="s">
        <v>198</v>
      </c>
      <c r="P3" s="161" t="s">
        <v>238</v>
      </c>
      <c r="Q3" s="161" t="s">
        <v>239</v>
      </c>
      <c r="Y3" s="161" t="s">
        <v>198</v>
      </c>
      <c r="Z3" s="192" t="s">
        <v>238</v>
      </c>
      <c r="AA3" s="180" t="s">
        <v>239</v>
      </c>
      <c r="AB3" s="156" t="s">
        <v>394</v>
      </c>
    </row>
    <row r="4" spans="1:32" outlineLevel="1" x14ac:dyDescent="0.3">
      <c r="A4" s="161" t="s">
        <v>235</v>
      </c>
      <c r="B4" s="216">
        <f>C4*0.61</f>
        <v>732</v>
      </c>
      <c r="C4" s="217">
        <f>CEILING(D4*D2, 10)</f>
        <v>1200</v>
      </c>
      <c r="D4" s="217">
        <v>1140</v>
      </c>
      <c r="E4" s="172">
        <f>4700/2.5</f>
        <v>1880</v>
      </c>
      <c r="F4" s="170">
        <v>1350</v>
      </c>
      <c r="G4" s="173">
        <v>1148</v>
      </c>
      <c r="H4" s="175">
        <v>1155</v>
      </c>
      <c r="I4" s="174">
        <v>1128</v>
      </c>
      <c r="O4" s="161" t="s">
        <v>235</v>
      </c>
      <c r="P4" s="356">
        <v>695.4</v>
      </c>
      <c r="Q4" s="356">
        <v>1100</v>
      </c>
      <c r="Y4" s="161" t="s">
        <v>235</v>
      </c>
      <c r="Z4" s="216">
        <f>AA4*0.61</f>
        <v>671</v>
      </c>
      <c r="AA4" s="217">
        <v>1100</v>
      </c>
      <c r="AB4" s="304">
        <f>C4/AA4-1</f>
        <v>9.0909090909090828E-2</v>
      </c>
    </row>
    <row r="5" spans="1:32" outlineLevel="1" x14ac:dyDescent="0.3">
      <c r="A5" s="161" t="s">
        <v>236</v>
      </c>
      <c r="B5" s="216">
        <f t="shared" ref="B5:B6" si="0">C5*0.61</f>
        <v>542.9</v>
      </c>
      <c r="C5" s="217">
        <f>CEILING(D5*D2, 10)</f>
        <v>890</v>
      </c>
      <c r="D5" s="217">
        <v>840</v>
      </c>
      <c r="E5" s="172">
        <f>2400/2.5</f>
        <v>960</v>
      </c>
      <c r="F5" s="170">
        <v>750</v>
      </c>
      <c r="G5" s="173">
        <v>830</v>
      </c>
      <c r="H5" s="175">
        <v>702</v>
      </c>
      <c r="I5" s="174">
        <v>630</v>
      </c>
      <c r="O5" s="161" t="s">
        <v>236</v>
      </c>
      <c r="P5" s="356">
        <v>512.4</v>
      </c>
      <c r="Q5" s="356">
        <v>800</v>
      </c>
      <c r="Y5" s="161" t="s">
        <v>236</v>
      </c>
      <c r="Z5" s="216">
        <f t="shared" ref="Z5:Z6" si="1">AA5*0.61</f>
        <v>488</v>
      </c>
      <c r="AA5" s="217">
        <v>800</v>
      </c>
      <c r="AB5" s="304">
        <f t="shared" ref="AB5:AB9" si="2">C5/AA5-1</f>
        <v>0.11250000000000004</v>
      </c>
    </row>
    <row r="6" spans="1:32" outlineLevel="1" x14ac:dyDescent="0.3">
      <c r="A6" s="161" t="s">
        <v>237</v>
      </c>
      <c r="B6" s="216">
        <f t="shared" si="0"/>
        <v>573.4</v>
      </c>
      <c r="C6" s="217">
        <f>CEILING(D6*D2, 10)</f>
        <v>940</v>
      </c>
      <c r="D6" s="217">
        <v>890</v>
      </c>
      <c r="E6" s="172">
        <f>1990/2.5</f>
        <v>796</v>
      </c>
      <c r="F6" s="170">
        <v>850</v>
      </c>
      <c r="G6" s="173">
        <v>900</v>
      </c>
      <c r="H6" s="175">
        <v>825</v>
      </c>
      <c r="I6" s="174">
        <v>888</v>
      </c>
      <c r="O6" s="161" t="s">
        <v>237</v>
      </c>
      <c r="P6" s="356">
        <v>542.9</v>
      </c>
      <c r="Q6" s="356">
        <v>850</v>
      </c>
      <c r="Y6" s="161" t="s">
        <v>237</v>
      </c>
      <c r="Z6" s="216">
        <f t="shared" si="1"/>
        <v>518.5</v>
      </c>
      <c r="AA6" s="217">
        <v>850</v>
      </c>
      <c r="AB6" s="304">
        <f t="shared" si="2"/>
        <v>0.10588235294117654</v>
      </c>
    </row>
    <row r="7" spans="1:32" ht="4.5" customHeight="1" outlineLevel="1" x14ac:dyDescent="0.3">
      <c r="A7" s="161"/>
      <c r="B7" s="216"/>
      <c r="C7" s="217"/>
      <c r="D7" s="217"/>
      <c r="F7"/>
      <c r="O7" s="161"/>
      <c r="P7" s="356"/>
      <c r="Q7" s="356"/>
      <c r="Y7" s="161"/>
      <c r="Z7" s="216"/>
      <c r="AA7" s="217"/>
      <c r="AB7" s="304" t="s">
        <v>390</v>
      </c>
    </row>
    <row r="8" spans="1:32" s="178" customFormat="1" ht="27" customHeight="1" outlineLevel="1" x14ac:dyDescent="0.3">
      <c r="A8" s="176" t="s">
        <v>286</v>
      </c>
      <c r="B8" s="218">
        <f>B4*2.5+B5*5</f>
        <v>4544.5</v>
      </c>
      <c r="C8" s="219">
        <f>C4*2.5+C5*5</f>
        <v>7450</v>
      </c>
      <c r="D8" s="219">
        <f>D4*2.5+D5*5</f>
        <v>7050</v>
      </c>
      <c r="E8" s="221">
        <f>E4*2.5+E5*5</f>
        <v>9500</v>
      </c>
      <c r="F8" s="221">
        <f>F4*2.5+F5*5</f>
        <v>7125</v>
      </c>
      <c r="G8" s="221">
        <f>G4*2.5+G5*5</f>
        <v>7020</v>
      </c>
      <c r="H8" s="221">
        <f>H4*2.5+H5*5</f>
        <v>6397.5</v>
      </c>
      <c r="I8" s="221">
        <f>I4*2.5+I5*5</f>
        <v>5970</v>
      </c>
      <c r="O8" s="128" t="s">
        <v>286</v>
      </c>
      <c r="P8" s="357" t="s">
        <v>390</v>
      </c>
      <c r="Q8" s="357" t="s">
        <v>390</v>
      </c>
      <c r="Y8" s="176" t="s">
        <v>286</v>
      </c>
      <c r="Z8" s="218">
        <f>Z4*2.5+Z5*5</f>
        <v>4117.5</v>
      </c>
      <c r="AA8" s="219">
        <f>AA4*2.5+AA5*5</f>
        <v>6750</v>
      </c>
      <c r="AB8" s="304">
        <f t="shared" si="2"/>
        <v>0.10370370370370363</v>
      </c>
    </row>
    <row r="9" spans="1:32" s="178" customFormat="1" ht="36.75" customHeight="1" outlineLevel="1" x14ac:dyDescent="0.3">
      <c r="A9" s="179" t="s">
        <v>287</v>
      </c>
      <c r="B9" s="220">
        <f>B4*2.5+B5*5+B6*2.5</f>
        <v>5978</v>
      </c>
      <c r="C9" s="217">
        <f>C4*2.5+C5*5+C6*2.5</f>
        <v>9800</v>
      </c>
      <c r="D9" s="217">
        <f>D4*2.5+D5*5+D6*2.5</f>
        <v>9275</v>
      </c>
      <c r="E9" s="222">
        <f>E4*2.5+E5*5+E6*2.5</f>
        <v>11490</v>
      </c>
      <c r="F9" s="222">
        <f>F4*2.5+F5*5+F6*2.5</f>
        <v>9250</v>
      </c>
      <c r="G9" s="222">
        <f>G4*2.5+G5*5+G6*2.5</f>
        <v>9270</v>
      </c>
      <c r="H9" s="222">
        <f>H4*2.5+H5*5+H6*2.5</f>
        <v>8460</v>
      </c>
      <c r="I9" s="222">
        <f>I4*2.5+I5*5+I6*2.5</f>
        <v>8190</v>
      </c>
      <c r="O9" s="128" t="s">
        <v>287</v>
      </c>
      <c r="P9" s="357" t="s">
        <v>390</v>
      </c>
      <c r="Q9" s="357" t="s">
        <v>390</v>
      </c>
      <c r="Y9" s="179" t="s">
        <v>287</v>
      </c>
      <c r="Z9" s="220">
        <f>Z4*2.5+Z5*5+Z6*2.5</f>
        <v>5413.75</v>
      </c>
      <c r="AA9" s="217">
        <f>AA4*2.5+AA5*5+AA6*2.5</f>
        <v>8875</v>
      </c>
      <c r="AB9" s="304">
        <f t="shared" si="2"/>
        <v>0.10422535211267614</v>
      </c>
    </row>
    <row r="10" spans="1:32" outlineLevel="1" x14ac:dyDescent="0.3">
      <c r="D10" s="156"/>
      <c r="AB10" s="304">
        <f>AVERAGE(AB4:AB9)</f>
        <v>0.10344409993332944</v>
      </c>
    </row>
    <row r="11" spans="1:32" outlineLevel="1" x14ac:dyDescent="0.3">
      <c r="C11" t="s">
        <v>422</v>
      </c>
      <c r="D11" s="156">
        <v>14550</v>
      </c>
      <c r="AB11" s="156"/>
    </row>
    <row r="12" spans="1:32" outlineLevel="1" x14ac:dyDescent="0.3">
      <c r="A12" s="49" t="s">
        <v>61</v>
      </c>
      <c r="D12" s="156"/>
      <c r="J12" t="s">
        <v>289</v>
      </c>
      <c r="O12" t="s">
        <v>61</v>
      </c>
      <c r="Y12" s="49" t="s">
        <v>61</v>
      </c>
      <c r="AB12" s="156"/>
    </row>
    <row r="13" spans="1:32" s="5" customFormat="1" ht="24" outlineLevel="1" x14ac:dyDescent="0.3">
      <c r="A13" s="181"/>
      <c r="B13" s="208" t="s">
        <v>240</v>
      </c>
      <c r="C13" s="183" t="s">
        <v>233</v>
      </c>
      <c r="D13" s="183" t="s">
        <v>197</v>
      </c>
      <c r="E13" s="183" t="s">
        <v>225</v>
      </c>
      <c r="F13" s="183" t="s">
        <v>232</v>
      </c>
      <c r="G13" s="183" t="s">
        <v>203</v>
      </c>
      <c r="H13" s="183" t="s">
        <v>291</v>
      </c>
      <c r="J13" s="184" t="s">
        <v>242</v>
      </c>
      <c r="K13" s="165" t="s">
        <v>199</v>
      </c>
      <c r="L13" s="166" t="s">
        <v>200</v>
      </c>
      <c r="M13" s="167" t="s">
        <v>201</v>
      </c>
      <c r="N13" s="174" t="s">
        <v>202</v>
      </c>
      <c r="O13" s="174"/>
      <c r="P13" s="174" t="s">
        <v>240</v>
      </c>
      <c r="Q13" s="174" t="s">
        <v>233</v>
      </c>
      <c r="R13" s="174" t="s">
        <v>197</v>
      </c>
      <c r="S13" s="174" t="s">
        <v>225</v>
      </c>
      <c r="T13" s="174" t="s">
        <v>232</v>
      </c>
      <c r="U13" s="174" t="s">
        <v>203</v>
      </c>
      <c r="V13" s="174" t="s">
        <v>291</v>
      </c>
      <c r="W13" s="174"/>
      <c r="X13" s="174"/>
      <c r="Y13" s="181"/>
      <c r="Z13" s="208" t="s">
        <v>240</v>
      </c>
      <c r="AA13" s="183" t="s">
        <v>233</v>
      </c>
      <c r="AB13" s="183" t="s">
        <v>197</v>
      </c>
      <c r="AC13" s="183" t="s">
        <v>225</v>
      </c>
      <c r="AD13" s="183" t="s">
        <v>232</v>
      </c>
      <c r="AE13" s="183" t="s">
        <v>203</v>
      </c>
      <c r="AF13" s="183" t="s">
        <v>291</v>
      </c>
    </row>
    <row r="14" spans="1:32" s="5" customFormat="1" outlineLevel="1" x14ac:dyDescent="0.3">
      <c r="A14" s="201" t="s">
        <v>250</v>
      </c>
      <c r="B14" s="223">
        <f>D14*0.61*0.9</f>
        <v>9580.0500000000011</v>
      </c>
      <c r="C14" s="224"/>
      <c r="D14" s="203">
        <v>17450</v>
      </c>
      <c r="E14" s="224"/>
      <c r="F14" s="224"/>
      <c r="G14" s="203">
        <f>D14+$C$8</f>
        <v>24900</v>
      </c>
      <c r="H14" s="225"/>
      <c r="I14" s="226"/>
      <c r="J14" s="203">
        <f>C28+E8</f>
        <v>27099</v>
      </c>
      <c r="K14" s="203"/>
      <c r="L14" s="203"/>
      <c r="M14" s="203"/>
      <c r="N14" s="203">
        <f>K28+I8</f>
        <v>24460</v>
      </c>
      <c r="O14" s="203" t="s">
        <v>250</v>
      </c>
      <c r="P14" s="203">
        <v>9580.0500000000011</v>
      </c>
      <c r="Q14" s="203"/>
      <c r="R14" s="203">
        <v>17450</v>
      </c>
      <c r="S14" s="203"/>
      <c r="T14" s="203"/>
      <c r="U14" s="203">
        <v>24200</v>
      </c>
      <c r="V14" s="203"/>
      <c r="W14" s="203"/>
      <c r="X14" s="203"/>
      <c r="Y14" s="201" t="s">
        <v>250</v>
      </c>
      <c r="Z14" s="223">
        <v>9580.0500000000011</v>
      </c>
      <c r="AA14" s="224"/>
      <c r="AB14" s="203">
        <v>17450</v>
      </c>
      <c r="AE14" s="5">
        <v>24200</v>
      </c>
    </row>
    <row r="15" spans="1:32" outlineLevel="1" x14ac:dyDescent="0.3">
      <c r="A15" s="161" t="s">
        <v>192</v>
      </c>
      <c r="B15" s="216">
        <f>D15*0.61*0.9</f>
        <v>8690.67</v>
      </c>
      <c r="C15" s="195">
        <v>550</v>
      </c>
      <c r="D15" s="195">
        <f>D16+C15</f>
        <v>15830</v>
      </c>
      <c r="E15" s="195"/>
      <c r="F15" s="196">
        <f>D15+E15</f>
        <v>15830</v>
      </c>
      <c r="G15" s="195">
        <f t="shared" ref="G15:G21" si="3">F15+$C$8</f>
        <v>23280</v>
      </c>
      <c r="H15" s="225">
        <f>F15*0.8+$C$8</f>
        <v>20114</v>
      </c>
      <c r="I15" s="227"/>
      <c r="J15" s="195"/>
      <c r="K15" s="195">
        <f>E29+F8</f>
        <v>21025</v>
      </c>
      <c r="L15" s="195">
        <f>G8+G29</f>
        <v>21960</v>
      </c>
      <c r="M15" s="195">
        <f>I29+H8</f>
        <v>19432.5</v>
      </c>
      <c r="N15" s="195"/>
      <c r="O15" s="195" t="s">
        <v>192</v>
      </c>
      <c r="P15" s="195">
        <v>7933.05</v>
      </c>
      <c r="Q15" s="195">
        <v>500</v>
      </c>
      <c r="R15" s="195">
        <v>14450</v>
      </c>
      <c r="S15" s="195"/>
      <c r="T15" s="195">
        <v>14450</v>
      </c>
      <c r="U15" s="195">
        <v>21200</v>
      </c>
      <c r="V15" s="195">
        <v>18310</v>
      </c>
      <c r="W15" s="195"/>
      <c r="X15" s="195"/>
      <c r="Y15" s="161" t="s">
        <v>192</v>
      </c>
      <c r="Z15" s="216">
        <v>7933.05</v>
      </c>
      <c r="AA15" s="195">
        <v>500</v>
      </c>
      <c r="AB15" s="195">
        <v>14450</v>
      </c>
      <c r="AD15">
        <v>14450</v>
      </c>
      <c r="AE15">
        <v>21200</v>
      </c>
      <c r="AF15">
        <v>18310</v>
      </c>
    </row>
    <row r="16" spans="1:32" s="185" customFormat="1" outlineLevel="1" x14ac:dyDescent="0.3">
      <c r="A16" s="182" t="s">
        <v>276</v>
      </c>
      <c r="B16" s="228">
        <f t="shared" ref="B16:B25" si="4">D16*0.61*0.9</f>
        <v>8388.7199999999993</v>
      </c>
      <c r="C16" s="229"/>
      <c r="D16" s="229">
        <f>CEILING(D11*D2, 10)</f>
        <v>15280</v>
      </c>
      <c r="E16" s="229"/>
      <c r="F16" s="229">
        <f>D16+E16</f>
        <v>15280</v>
      </c>
      <c r="G16" s="229">
        <f t="shared" si="3"/>
        <v>22730</v>
      </c>
      <c r="H16" s="230">
        <f t="shared" ref="H16:H24" si="5">F16*0.8+$C$8</f>
        <v>19674</v>
      </c>
      <c r="I16" s="231"/>
      <c r="J16" s="229">
        <f>C30+E8</f>
        <v>22099</v>
      </c>
      <c r="K16" s="229">
        <f>E30+F8</f>
        <v>18575</v>
      </c>
      <c r="L16" s="231"/>
      <c r="M16" s="231"/>
      <c r="N16" s="229">
        <f>K30+I8</f>
        <v>18960</v>
      </c>
      <c r="O16" s="229" t="s">
        <v>276</v>
      </c>
      <c r="P16" s="229">
        <v>7658.55</v>
      </c>
      <c r="Q16" s="229"/>
      <c r="R16" s="229">
        <v>13950</v>
      </c>
      <c r="S16" s="229"/>
      <c r="T16" s="229">
        <v>13950</v>
      </c>
      <c r="U16" s="229">
        <v>20700</v>
      </c>
      <c r="V16" s="229">
        <v>17910</v>
      </c>
      <c r="W16" s="229"/>
      <c r="X16" s="229"/>
      <c r="Y16" s="182" t="s">
        <v>276</v>
      </c>
      <c r="Z16" s="228">
        <v>7658.55</v>
      </c>
      <c r="AA16" s="229"/>
      <c r="AB16" s="229">
        <v>13950</v>
      </c>
      <c r="AD16" s="185">
        <v>13950</v>
      </c>
      <c r="AE16" s="185">
        <v>20700</v>
      </c>
      <c r="AF16" s="185">
        <v>17910</v>
      </c>
    </row>
    <row r="17" spans="1:32" s="185" customFormat="1" outlineLevel="1" x14ac:dyDescent="0.3">
      <c r="A17" s="182" t="s">
        <v>277</v>
      </c>
      <c r="B17" s="228">
        <f t="shared" si="4"/>
        <v>8388.7199999999993</v>
      </c>
      <c r="C17" s="229"/>
      <c r="D17" s="229">
        <f>D16</f>
        <v>15280</v>
      </c>
      <c r="E17" s="229">
        <v>2600</v>
      </c>
      <c r="F17" s="229">
        <f>D17+E17</f>
        <v>17880</v>
      </c>
      <c r="G17" s="229">
        <f t="shared" si="3"/>
        <v>25330</v>
      </c>
      <c r="H17" s="230">
        <f t="shared" si="5"/>
        <v>21754</v>
      </c>
      <c r="I17" s="231"/>
      <c r="J17" s="229"/>
      <c r="K17" s="229"/>
      <c r="L17" s="229">
        <f>G30+G8</f>
        <v>25055</v>
      </c>
      <c r="M17" s="229">
        <f>I30+H8</f>
        <v>21247.5</v>
      </c>
      <c r="N17" s="229"/>
      <c r="O17" s="229" t="s">
        <v>277</v>
      </c>
      <c r="P17" s="229">
        <v>7658.55</v>
      </c>
      <c r="Q17" s="229"/>
      <c r="R17" s="229">
        <v>13950</v>
      </c>
      <c r="S17" s="229">
        <v>2500</v>
      </c>
      <c r="T17" s="229">
        <v>16450</v>
      </c>
      <c r="U17" s="229">
        <v>23200</v>
      </c>
      <c r="V17" s="229">
        <v>19910</v>
      </c>
      <c r="W17" s="229"/>
      <c r="X17" s="229"/>
      <c r="Y17" s="182" t="s">
        <v>277</v>
      </c>
      <c r="Z17" s="228">
        <v>7658.55</v>
      </c>
      <c r="AA17" s="229"/>
      <c r="AB17" s="229">
        <v>13950</v>
      </c>
      <c r="AC17" s="185">
        <v>2500</v>
      </c>
      <c r="AD17" s="185">
        <v>16450</v>
      </c>
      <c r="AE17" s="185">
        <v>23200</v>
      </c>
      <c r="AF17" s="185">
        <v>19910</v>
      </c>
    </row>
    <row r="18" spans="1:32" outlineLevel="1" x14ac:dyDescent="0.3">
      <c r="A18" s="161" t="s">
        <v>2</v>
      </c>
      <c r="B18" s="216">
        <f t="shared" si="4"/>
        <v>9294.57</v>
      </c>
      <c r="C18" s="195">
        <v>1650</v>
      </c>
      <c r="D18" s="195">
        <f>C18+D16</f>
        <v>16930</v>
      </c>
      <c r="E18" s="195">
        <f>E17</f>
        <v>2600</v>
      </c>
      <c r="F18" s="196">
        <f>D18+E18</f>
        <v>19530</v>
      </c>
      <c r="G18" s="195">
        <f t="shared" si="3"/>
        <v>26980</v>
      </c>
      <c r="H18" s="225">
        <f t="shared" si="5"/>
        <v>23074</v>
      </c>
      <c r="I18" s="227"/>
      <c r="J18" s="195"/>
      <c r="K18" s="195">
        <f>E32+F8</f>
        <v>24275</v>
      </c>
      <c r="L18" s="195">
        <f>G32+G8</f>
        <v>25985</v>
      </c>
      <c r="M18" s="195">
        <f>I33+H8</f>
        <v>23227.5</v>
      </c>
      <c r="N18" s="195">
        <f>K33+I8</f>
        <v>24960</v>
      </c>
      <c r="O18" s="195" t="s">
        <v>2</v>
      </c>
      <c r="P18" s="195">
        <v>8482.0500000000011</v>
      </c>
      <c r="Q18" s="195">
        <v>1500</v>
      </c>
      <c r="R18" s="195">
        <v>15450</v>
      </c>
      <c r="S18" s="195">
        <v>2500</v>
      </c>
      <c r="T18" s="195">
        <v>17950</v>
      </c>
      <c r="U18" s="195">
        <v>24700</v>
      </c>
      <c r="V18" s="195">
        <v>21110</v>
      </c>
      <c r="W18" s="195"/>
      <c r="X18" s="195"/>
      <c r="Y18" s="161" t="s">
        <v>2</v>
      </c>
      <c r="Z18" s="216">
        <v>8482.0500000000011</v>
      </c>
      <c r="AA18" s="195">
        <v>1500</v>
      </c>
      <c r="AB18" s="195">
        <v>15450</v>
      </c>
      <c r="AC18">
        <v>2500</v>
      </c>
      <c r="AD18">
        <v>17950</v>
      </c>
      <c r="AE18">
        <v>24700</v>
      </c>
      <c r="AF18">
        <v>21110</v>
      </c>
    </row>
    <row r="19" spans="1:32" outlineLevel="1" x14ac:dyDescent="0.3">
      <c r="A19" s="161" t="s">
        <v>98</v>
      </c>
      <c r="B19" s="216">
        <f t="shared" si="4"/>
        <v>9843.57</v>
      </c>
      <c r="C19" s="195">
        <v>2650</v>
      </c>
      <c r="D19" s="195">
        <f>D16+C19</f>
        <v>17930</v>
      </c>
      <c r="E19" s="195">
        <f>$E$18</f>
        <v>2600</v>
      </c>
      <c r="F19" s="196">
        <f>D19+E19</f>
        <v>20530</v>
      </c>
      <c r="G19" s="195">
        <f t="shared" si="3"/>
        <v>27980</v>
      </c>
      <c r="H19" s="225">
        <f t="shared" si="5"/>
        <v>23874</v>
      </c>
      <c r="I19" s="227"/>
      <c r="J19" s="195">
        <f>C36+E8</f>
        <v>27599</v>
      </c>
      <c r="K19" s="195">
        <f>E36+F8</f>
        <v>26975</v>
      </c>
      <c r="L19" s="195"/>
      <c r="M19" s="195"/>
      <c r="N19" s="195"/>
      <c r="O19" s="195" t="s">
        <v>98</v>
      </c>
      <c r="P19" s="195">
        <v>9031.0500000000011</v>
      </c>
      <c r="Q19" s="195">
        <v>2500</v>
      </c>
      <c r="R19" s="195">
        <v>16450</v>
      </c>
      <c r="S19" s="195">
        <v>2500</v>
      </c>
      <c r="T19" s="195">
        <v>18950</v>
      </c>
      <c r="U19" s="195">
        <v>25700</v>
      </c>
      <c r="V19" s="195">
        <v>21910</v>
      </c>
      <c r="W19" s="195"/>
      <c r="X19" s="195"/>
      <c r="Y19" s="161" t="s">
        <v>98</v>
      </c>
      <c r="Z19" s="216">
        <v>9031.0500000000011</v>
      </c>
      <c r="AA19" s="195">
        <v>2500</v>
      </c>
      <c r="AB19" s="195">
        <v>16450</v>
      </c>
      <c r="AC19">
        <v>2500</v>
      </c>
      <c r="AD19">
        <v>18950</v>
      </c>
      <c r="AE19">
        <v>25700</v>
      </c>
      <c r="AF19">
        <v>21910</v>
      </c>
    </row>
    <row r="20" spans="1:32" outlineLevel="1" x14ac:dyDescent="0.3">
      <c r="A20" s="161" t="s">
        <v>215</v>
      </c>
      <c r="B20" s="216">
        <f>D20*0.61*0.9</f>
        <v>10145.52</v>
      </c>
      <c r="C20" s="195">
        <v>3200</v>
      </c>
      <c r="D20" s="195">
        <f>D16+C20</f>
        <v>18480</v>
      </c>
      <c r="E20" s="195">
        <f>$E$18</f>
        <v>2600</v>
      </c>
      <c r="F20" s="196">
        <f t="shared" ref="F20" si="6">D20+E20</f>
        <v>21080</v>
      </c>
      <c r="G20" s="195">
        <f t="shared" si="3"/>
        <v>28530</v>
      </c>
      <c r="H20" s="225">
        <f t="shared" si="5"/>
        <v>24314</v>
      </c>
      <c r="I20" s="227"/>
      <c r="J20" s="195"/>
      <c r="K20" s="195">
        <f>E37+F8</f>
        <v>28325</v>
      </c>
      <c r="L20" s="195">
        <f>G37+G8</f>
        <v>27795</v>
      </c>
      <c r="M20" s="195">
        <f>I37+H8</f>
        <v>27435.5</v>
      </c>
      <c r="N20" s="195">
        <f>K37+I8</f>
        <v>24460</v>
      </c>
      <c r="O20" s="195" t="s">
        <v>215</v>
      </c>
      <c r="P20" s="195">
        <v>9305.5500000000011</v>
      </c>
      <c r="Q20" s="195">
        <v>3000</v>
      </c>
      <c r="R20" s="195">
        <v>16950</v>
      </c>
      <c r="S20" s="195">
        <v>2500</v>
      </c>
      <c r="T20" s="195">
        <v>19450</v>
      </c>
      <c r="U20" s="195">
        <v>26200</v>
      </c>
      <c r="V20" s="195">
        <v>22310</v>
      </c>
      <c r="W20" s="195"/>
      <c r="X20" s="195"/>
      <c r="Y20" s="161" t="s">
        <v>215</v>
      </c>
      <c r="Z20" s="216">
        <v>9305.5500000000011</v>
      </c>
      <c r="AA20" s="195">
        <v>3000</v>
      </c>
      <c r="AB20" s="195">
        <v>16950</v>
      </c>
      <c r="AC20">
        <v>2500</v>
      </c>
      <c r="AD20">
        <v>19450</v>
      </c>
      <c r="AE20">
        <v>26200</v>
      </c>
      <c r="AF20">
        <v>22310</v>
      </c>
    </row>
    <row r="21" spans="1:32" outlineLevel="1" x14ac:dyDescent="0.3">
      <c r="A21" s="161" t="s">
        <v>216</v>
      </c>
      <c r="B21" s="216">
        <f>D21*0.61*0.9</f>
        <v>11298.42</v>
      </c>
      <c r="C21" s="195">
        <v>5300</v>
      </c>
      <c r="D21" s="195">
        <f>D16+C21</f>
        <v>20580</v>
      </c>
      <c r="E21" s="195">
        <f>$E$18</f>
        <v>2600</v>
      </c>
      <c r="F21" s="196">
        <f t="shared" ref="F21" si="7">D21+E21</f>
        <v>23180</v>
      </c>
      <c r="G21" s="195">
        <f t="shared" si="3"/>
        <v>30630</v>
      </c>
      <c r="H21" s="225">
        <f t="shared" si="5"/>
        <v>25994</v>
      </c>
      <c r="I21" s="227"/>
      <c r="J21" s="195"/>
      <c r="K21" s="195">
        <f>E39+F8</f>
        <v>28325</v>
      </c>
      <c r="L21" s="195">
        <f>G39+G8</f>
        <v>30310</v>
      </c>
      <c r="M21" s="195">
        <f>I39+H8</f>
        <v>25290.5</v>
      </c>
      <c r="N21" s="195">
        <f>K39+I8</f>
        <v>26960</v>
      </c>
      <c r="O21" s="195" t="s">
        <v>216</v>
      </c>
      <c r="P21" s="195">
        <v>10403.550000000001</v>
      </c>
      <c r="Q21" s="195">
        <v>5000</v>
      </c>
      <c r="R21" s="195">
        <v>18950</v>
      </c>
      <c r="S21" s="195">
        <v>2500</v>
      </c>
      <c r="T21" s="195">
        <v>21450</v>
      </c>
      <c r="U21" s="195">
        <v>28200</v>
      </c>
      <c r="V21" s="195">
        <v>23910</v>
      </c>
      <c r="W21" s="195"/>
      <c r="X21" s="195"/>
      <c r="Y21" s="161" t="s">
        <v>216</v>
      </c>
      <c r="Z21" s="216">
        <v>10403.550000000001</v>
      </c>
      <c r="AA21" s="195">
        <v>5000</v>
      </c>
      <c r="AB21" s="195">
        <v>18950</v>
      </c>
      <c r="AC21">
        <v>2500</v>
      </c>
      <c r="AD21">
        <v>21450</v>
      </c>
      <c r="AE21">
        <v>28200</v>
      </c>
      <c r="AF21">
        <v>23910</v>
      </c>
    </row>
    <row r="22" spans="1:32" outlineLevel="1" x14ac:dyDescent="0.3">
      <c r="B22" s="209"/>
      <c r="C22" s="156"/>
      <c r="D22" s="156"/>
      <c r="E22" s="156"/>
      <c r="F22" s="157"/>
      <c r="G22" s="127"/>
      <c r="H22" s="20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Z22" s="209"/>
      <c r="AA22" s="156"/>
      <c r="AB22" s="156"/>
    </row>
    <row r="23" spans="1:32" ht="24" outlineLevel="1" x14ac:dyDescent="0.3">
      <c r="A23" s="181"/>
      <c r="B23" s="208" t="s">
        <v>240</v>
      </c>
      <c r="C23" s="183" t="s">
        <v>233</v>
      </c>
      <c r="D23" s="183" t="s">
        <v>197</v>
      </c>
      <c r="E23" s="183" t="s">
        <v>243</v>
      </c>
      <c r="F23" s="183" t="s">
        <v>234</v>
      </c>
      <c r="G23" s="183" t="s">
        <v>203</v>
      </c>
      <c r="H23" s="183" t="s">
        <v>291</v>
      </c>
      <c r="J23" s="200"/>
      <c r="K23" s="200"/>
      <c r="L23" s="200"/>
      <c r="M23" s="200"/>
      <c r="N23" s="200"/>
      <c r="O23" s="200"/>
      <c r="P23" s="200" t="s">
        <v>240</v>
      </c>
      <c r="Q23" s="200" t="s">
        <v>233</v>
      </c>
      <c r="R23" s="200" t="s">
        <v>197</v>
      </c>
      <c r="S23" s="200" t="s">
        <v>243</v>
      </c>
      <c r="T23" s="200" t="s">
        <v>234</v>
      </c>
      <c r="U23" s="200" t="s">
        <v>203</v>
      </c>
      <c r="V23" s="200" t="s">
        <v>291</v>
      </c>
      <c r="W23" s="200"/>
      <c r="X23" s="200"/>
      <c r="Y23" s="181"/>
      <c r="Z23" s="208" t="s">
        <v>240</v>
      </c>
      <c r="AA23" s="183" t="s">
        <v>233</v>
      </c>
      <c r="AB23" s="183" t="s">
        <v>197</v>
      </c>
    </row>
    <row r="24" spans="1:32" outlineLevel="1" x14ac:dyDescent="0.3">
      <c r="A24" s="161" t="s">
        <v>224</v>
      </c>
      <c r="B24" s="216">
        <f t="shared" si="4"/>
        <v>12099.96</v>
      </c>
      <c r="C24" s="195">
        <v>6760</v>
      </c>
      <c r="D24" s="195">
        <f>D16+C24</f>
        <v>22040</v>
      </c>
      <c r="E24" s="195">
        <v>3600</v>
      </c>
      <c r="F24" s="196">
        <f>D24+E24</f>
        <v>25640</v>
      </c>
      <c r="G24" s="195">
        <f t="shared" ref="G24:G25" si="8">F24+$C$8</f>
        <v>33090</v>
      </c>
      <c r="H24" s="225">
        <f t="shared" si="5"/>
        <v>27962</v>
      </c>
      <c r="J24" s="200"/>
      <c r="K24" s="200">
        <f>E43+F8</f>
        <v>47125</v>
      </c>
      <c r="L24" s="200"/>
      <c r="M24" s="200">
        <f>I40+H8</f>
        <v>26692.5</v>
      </c>
      <c r="N24" s="200">
        <f>K44+I8</f>
        <v>30960</v>
      </c>
      <c r="O24" s="200" t="s">
        <v>224</v>
      </c>
      <c r="P24" s="200">
        <v>11227.050000000001</v>
      </c>
      <c r="Q24" s="200">
        <v>6500</v>
      </c>
      <c r="R24" s="200">
        <v>20450</v>
      </c>
      <c r="S24" s="200">
        <v>3500</v>
      </c>
      <c r="T24" s="200">
        <v>23950</v>
      </c>
      <c r="U24" s="200">
        <v>30700</v>
      </c>
      <c r="V24" s="200">
        <v>25910</v>
      </c>
      <c r="W24" s="200"/>
      <c r="X24" s="200"/>
      <c r="Y24" s="161" t="s">
        <v>224</v>
      </c>
      <c r="Z24" s="216">
        <f t="shared" ref="Z24:Z25" si="9">AB24*0.61*0.9</f>
        <v>11227.050000000001</v>
      </c>
      <c r="AA24" s="195">
        <v>6500</v>
      </c>
      <c r="AB24" s="195">
        <f>AB16+AA24</f>
        <v>20450</v>
      </c>
    </row>
    <row r="25" spans="1:32" outlineLevel="1" x14ac:dyDescent="0.3">
      <c r="A25" s="161" t="s">
        <v>161</v>
      </c>
      <c r="B25" s="216">
        <f t="shared" si="4"/>
        <v>14098.32</v>
      </c>
      <c r="C25" s="195">
        <v>10400</v>
      </c>
      <c r="D25" s="195">
        <f>D16+C25</f>
        <v>25680</v>
      </c>
      <c r="E25" s="195">
        <v>3600</v>
      </c>
      <c r="F25" s="196">
        <f>D25+E25</f>
        <v>29280</v>
      </c>
      <c r="G25" s="195">
        <f t="shared" si="8"/>
        <v>36730</v>
      </c>
      <c r="H25" s="225"/>
      <c r="J25" s="200"/>
      <c r="K25" s="200"/>
      <c r="L25" s="200"/>
      <c r="M25" s="200"/>
      <c r="N25" s="200"/>
      <c r="O25" s="200" t="s">
        <v>161</v>
      </c>
      <c r="P25" s="200">
        <v>13148.550000000001</v>
      </c>
      <c r="Q25" s="200">
        <v>10000</v>
      </c>
      <c r="R25" s="200">
        <v>23950</v>
      </c>
      <c r="S25" s="200">
        <v>3500</v>
      </c>
      <c r="T25" s="200">
        <v>27450</v>
      </c>
      <c r="U25" s="200">
        <v>34200</v>
      </c>
      <c r="V25" s="200"/>
      <c r="W25" s="200"/>
      <c r="X25" s="200"/>
      <c r="Y25" s="161" t="s">
        <v>161</v>
      </c>
      <c r="Z25" s="216">
        <f t="shared" si="9"/>
        <v>13148.550000000001</v>
      </c>
      <c r="AA25" s="195">
        <v>10000</v>
      </c>
      <c r="AB25" s="195">
        <f>AB16+AA25</f>
        <v>23950</v>
      </c>
    </row>
    <row r="26" spans="1:32" outlineLevel="1" x14ac:dyDescent="0.3">
      <c r="B26" s="127"/>
      <c r="C26" s="156"/>
      <c r="D26" s="156"/>
      <c r="E26" s="156"/>
      <c r="F26" s="157"/>
      <c r="G26" s="127"/>
      <c r="K26" s="127"/>
      <c r="Z26" s="127"/>
      <c r="AA26" s="156"/>
      <c r="AB26" s="156"/>
    </row>
    <row r="27" spans="1:32" outlineLevel="1" x14ac:dyDescent="0.3">
      <c r="A27" s="169" t="s">
        <v>290</v>
      </c>
      <c r="B27" s="494" t="s">
        <v>242</v>
      </c>
      <c r="C27" s="495"/>
      <c r="D27" s="496" t="s">
        <v>199</v>
      </c>
      <c r="E27" s="497"/>
      <c r="F27" s="498" t="s">
        <v>200</v>
      </c>
      <c r="G27" s="499"/>
      <c r="H27" s="500" t="s">
        <v>201</v>
      </c>
      <c r="I27" s="501"/>
      <c r="J27" s="492" t="s">
        <v>202</v>
      </c>
      <c r="K27" s="493"/>
      <c r="O27" s="174"/>
      <c r="P27" s="174" t="s">
        <v>240</v>
      </c>
      <c r="Q27" s="174" t="s">
        <v>233</v>
      </c>
      <c r="R27" s="174" t="s">
        <v>197</v>
      </c>
      <c r="S27" s="174" t="s">
        <v>225</v>
      </c>
      <c r="T27" s="174" t="s">
        <v>232</v>
      </c>
      <c r="U27" s="174" t="s">
        <v>203</v>
      </c>
      <c r="V27" s="174" t="s">
        <v>291</v>
      </c>
      <c r="W27" s="174"/>
    </row>
    <row r="28" spans="1:32" outlineLevel="1" x14ac:dyDescent="0.3">
      <c r="A28" s="201" t="s">
        <v>250</v>
      </c>
      <c r="B28" s="202" t="s">
        <v>249</v>
      </c>
      <c r="C28" s="203">
        <v>17599</v>
      </c>
      <c r="D28" s="202"/>
      <c r="E28" s="203"/>
      <c r="F28" s="202"/>
      <c r="G28" s="203"/>
      <c r="H28" s="202"/>
      <c r="I28" s="203"/>
      <c r="J28" s="202" t="s">
        <v>275</v>
      </c>
      <c r="K28" s="203">
        <v>18490</v>
      </c>
      <c r="O28" s="203" t="s">
        <v>250</v>
      </c>
      <c r="P28" s="358">
        <f>B14/P14-1</f>
        <v>0</v>
      </c>
      <c r="Q28" s="358" t="s">
        <v>390</v>
      </c>
      <c r="R28" s="358">
        <f t="shared" ref="Q28:V35" si="10">D14/R14-1</f>
        <v>0</v>
      </c>
      <c r="S28" s="358" t="s">
        <v>390</v>
      </c>
      <c r="T28" s="358" t="s">
        <v>390</v>
      </c>
      <c r="U28" s="358">
        <f t="shared" si="10"/>
        <v>2.8925619834710758E-2</v>
      </c>
      <c r="V28" s="358" t="s">
        <v>390</v>
      </c>
      <c r="W28" s="203"/>
    </row>
    <row r="29" spans="1:32" outlineLevel="1" x14ac:dyDescent="0.3">
      <c r="A29" s="161" t="s">
        <v>192</v>
      </c>
      <c r="B29" s="128"/>
      <c r="C29" s="195"/>
      <c r="D29" s="128" t="s">
        <v>245</v>
      </c>
      <c r="E29" s="195">
        <v>13900</v>
      </c>
      <c r="F29" s="128" t="s">
        <v>259</v>
      </c>
      <c r="G29" s="195">
        <v>14940</v>
      </c>
      <c r="H29" s="128" t="s">
        <v>260</v>
      </c>
      <c r="I29" s="195">
        <v>13035</v>
      </c>
      <c r="J29" s="128"/>
      <c r="K29" s="195"/>
      <c r="O29" s="195" t="s">
        <v>192</v>
      </c>
      <c r="P29" s="358">
        <f t="shared" ref="P29:P35" si="11">B15/P15-1</f>
        <v>9.5501730103806137E-2</v>
      </c>
      <c r="Q29" s="358">
        <f t="shared" si="10"/>
        <v>0.10000000000000009</v>
      </c>
      <c r="R29" s="358">
        <f t="shared" si="10"/>
        <v>9.5501730103806137E-2</v>
      </c>
      <c r="S29" s="358" t="s">
        <v>390</v>
      </c>
      <c r="T29" s="358">
        <f t="shared" si="10"/>
        <v>9.5501730103806137E-2</v>
      </c>
      <c r="U29" s="358">
        <f t="shared" si="10"/>
        <v>9.811320754716979E-2</v>
      </c>
      <c r="V29" s="358">
        <f t="shared" si="10"/>
        <v>9.8525395958492634E-2</v>
      </c>
      <c r="W29" s="195"/>
    </row>
    <row r="30" spans="1:32" outlineLevel="1" x14ac:dyDescent="0.3">
      <c r="A30" s="182" t="s">
        <v>0</v>
      </c>
      <c r="B30" s="197" t="s">
        <v>247</v>
      </c>
      <c r="C30" s="194">
        <v>12599</v>
      </c>
      <c r="D30" s="197" t="s">
        <v>244</v>
      </c>
      <c r="E30" s="194">
        <v>11450</v>
      </c>
      <c r="F30" s="197" t="s">
        <v>252</v>
      </c>
      <c r="G30" s="194">
        <v>18035</v>
      </c>
      <c r="H30" s="197" t="s">
        <v>258</v>
      </c>
      <c r="I30" s="194">
        <v>14850</v>
      </c>
      <c r="J30" s="197" t="s">
        <v>251</v>
      </c>
      <c r="K30" s="194">
        <f>12990</f>
        <v>12990</v>
      </c>
      <c r="O30" s="229" t="s">
        <v>276</v>
      </c>
      <c r="P30" s="358">
        <f t="shared" si="11"/>
        <v>9.5340501792114507E-2</v>
      </c>
      <c r="Q30" s="358" t="s">
        <v>390</v>
      </c>
      <c r="R30" s="358">
        <f t="shared" si="10"/>
        <v>9.5340501792114729E-2</v>
      </c>
      <c r="S30" s="358" t="s">
        <v>390</v>
      </c>
      <c r="T30" s="358">
        <f t="shared" si="10"/>
        <v>9.5340501792114729E-2</v>
      </c>
      <c r="U30" s="358">
        <f t="shared" si="10"/>
        <v>9.8067632850241448E-2</v>
      </c>
      <c r="V30" s="358">
        <f t="shared" si="10"/>
        <v>9.8492462311557727E-2</v>
      </c>
      <c r="W30" s="229"/>
    </row>
    <row r="31" spans="1:32" outlineLevel="1" x14ac:dyDescent="0.3">
      <c r="A31" s="161" t="s">
        <v>261</v>
      </c>
      <c r="B31" s="128"/>
      <c r="C31" s="195"/>
      <c r="D31" s="128"/>
      <c r="E31" s="195"/>
      <c r="F31" s="128"/>
      <c r="G31" s="195"/>
      <c r="H31" s="128" t="s">
        <v>262</v>
      </c>
      <c r="I31" s="195">
        <f>13365+2970</f>
        <v>16335</v>
      </c>
      <c r="J31" s="128"/>
      <c r="K31" s="195"/>
      <c r="O31" s="229" t="s">
        <v>277</v>
      </c>
      <c r="P31" s="358">
        <f t="shared" si="11"/>
        <v>9.5340501792114507E-2</v>
      </c>
      <c r="Q31" s="358" t="s">
        <v>390</v>
      </c>
      <c r="R31" s="358">
        <f t="shared" si="10"/>
        <v>9.5340501792114729E-2</v>
      </c>
      <c r="S31" s="358">
        <f t="shared" si="10"/>
        <v>4.0000000000000036E-2</v>
      </c>
      <c r="T31" s="358">
        <f t="shared" si="10"/>
        <v>8.6930091185410285E-2</v>
      </c>
      <c r="U31" s="358">
        <f t="shared" si="10"/>
        <v>9.181034482758621E-2</v>
      </c>
      <c r="V31" s="358">
        <f t="shared" si="10"/>
        <v>9.2616775489703596E-2</v>
      </c>
      <c r="W31" s="229"/>
    </row>
    <row r="32" spans="1:32" outlineLevel="1" x14ac:dyDescent="0.3">
      <c r="A32" s="161" t="s">
        <v>210</v>
      </c>
      <c r="B32" s="128"/>
      <c r="C32" s="195"/>
      <c r="D32" s="128" t="s">
        <v>281</v>
      </c>
      <c r="E32" s="195">
        <v>17150</v>
      </c>
      <c r="F32" s="128" t="s">
        <v>284</v>
      </c>
      <c r="G32" s="195">
        <v>18965</v>
      </c>
      <c r="H32" s="128" t="s">
        <v>266</v>
      </c>
      <c r="I32" s="195">
        <f>13695+2970</f>
        <v>16665</v>
      </c>
      <c r="J32" s="128" t="s">
        <v>211</v>
      </c>
      <c r="K32" s="195">
        <v>16490</v>
      </c>
      <c r="O32" s="195" t="s">
        <v>2</v>
      </c>
      <c r="P32" s="358">
        <f t="shared" si="11"/>
        <v>9.5792880258899427E-2</v>
      </c>
      <c r="Q32" s="358" t="s">
        <v>390</v>
      </c>
      <c r="R32" s="358">
        <f t="shared" si="10"/>
        <v>9.5792880258899649E-2</v>
      </c>
      <c r="S32" s="358">
        <f t="shared" si="10"/>
        <v>4.0000000000000036E-2</v>
      </c>
      <c r="T32" s="358">
        <f t="shared" si="10"/>
        <v>8.8022284122562633E-2</v>
      </c>
      <c r="U32" s="358">
        <f t="shared" si="10"/>
        <v>9.2307692307692202E-2</v>
      </c>
      <c r="V32" s="358">
        <f t="shared" si="10"/>
        <v>9.3036475603979207E-2</v>
      </c>
      <c r="W32" s="195"/>
    </row>
    <row r="33" spans="1:24" outlineLevel="1" x14ac:dyDescent="0.3">
      <c r="A33" s="161" t="s">
        <v>212</v>
      </c>
      <c r="B33" s="128"/>
      <c r="C33" s="195"/>
      <c r="D33" s="128"/>
      <c r="E33" s="195"/>
      <c r="F33" s="128" t="s">
        <v>285</v>
      </c>
      <c r="G33" s="195">
        <v>19360</v>
      </c>
      <c r="H33" s="128" t="s">
        <v>263</v>
      </c>
      <c r="I33" s="195">
        <f>13860+2970</f>
        <v>16830</v>
      </c>
      <c r="J33" s="128" t="s">
        <v>213</v>
      </c>
      <c r="K33" s="195">
        <v>18990</v>
      </c>
      <c r="N33" s="156"/>
      <c r="O33" s="195" t="s">
        <v>98</v>
      </c>
      <c r="P33" s="358">
        <f t="shared" si="11"/>
        <v>8.9969604863221697E-2</v>
      </c>
      <c r="Q33" s="358">
        <f t="shared" si="10"/>
        <v>6.0000000000000053E-2</v>
      </c>
      <c r="R33" s="358">
        <f t="shared" si="10"/>
        <v>8.9969604863221919E-2</v>
      </c>
      <c r="S33" s="358">
        <f t="shared" si="10"/>
        <v>4.0000000000000036E-2</v>
      </c>
      <c r="T33" s="358">
        <f t="shared" si="10"/>
        <v>8.337730870712412E-2</v>
      </c>
      <c r="U33" s="358">
        <f t="shared" si="10"/>
        <v>8.8715953307392903E-2</v>
      </c>
      <c r="V33" s="358">
        <f t="shared" si="10"/>
        <v>8.9639434048379707E-2</v>
      </c>
      <c r="W33" s="195"/>
      <c r="X33" s="156"/>
    </row>
    <row r="34" spans="1:24" outlineLevel="1" x14ac:dyDescent="0.3">
      <c r="A34" s="161" t="s">
        <v>264</v>
      </c>
      <c r="B34" s="128"/>
      <c r="C34" s="195"/>
      <c r="D34" s="128"/>
      <c r="E34" s="195"/>
      <c r="F34" s="128"/>
      <c r="G34" s="195"/>
      <c r="H34" s="128" t="s">
        <v>265</v>
      </c>
      <c r="I34" s="195">
        <f>14603+2970</f>
        <v>17573</v>
      </c>
      <c r="J34" s="128"/>
      <c r="K34" s="195"/>
      <c r="N34" s="156"/>
      <c r="O34" s="195" t="s">
        <v>215</v>
      </c>
      <c r="P34" s="358">
        <f t="shared" si="11"/>
        <v>9.0265486725663591E-2</v>
      </c>
      <c r="Q34" s="358">
        <f t="shared" si="10"/>
        <v>6.6666666666666652E-2</v>
      </c>
      <c r="R34" s="358">
        <f t="shared" si="10"/>
        <v>9.0265486725663813E-2</v>
      </c>
      <c r="S34" s="358">
        <f t="shared" si="10"/>
        <v>4.0000000000000036E-2</v>
      </c>
      <c r="T34" s="358">
        <f t="shared" si="10"/>
        <v>8.3804627249357333E-2</v>
      </c>
      <c r="U34" s="358">
        <f t="shared" si="10"/>
        <v>8.8931297709923696E-2</v>
      </c>
      <c r="V34" s="358">
        <f t="shared" si="10"/>
        <v>8.9825190497534679E-2</v>
      </c>
      <c r="W34" s="195"/>
      <c r="X34" s="156"/>
    </row>
    <row r="35" spans="1:24" outlineLevel="1" x14ac:dyDescent="0.3">
      <c r="A35" s="161" t="s">
        <v>268</v>
      </c>
      <c r="B35" s="128"/>
      <c r="C35" s="195"/>
      <c r="D35" s="128"/>
      <c r="E35" s="195"/>
      <c r="F35" s="128"/>
      <c r="G35" s="195"/>
      <c r="H35" s="128"/>
      <c r="I35" s="195"/>
      <c r="J35" s="128" t="s">
        <v>267</v>
      </c>
      <c r="K35" s="195">
        <v>18990</v>
      </c>
      <c r="N35" s="156"/>
      <c r="O35" s="195" t="s">
        <v>216</v>
      </c>
      <c r="P35" s="358">
        <f t="shared" si="11"/>
        <v>8.6015831134564458E-2</v>
      </c>
      <c r="Q35" s="358">
        <f t="shared" si="10"/>
        <v>6.0000000000000053E-2</v>
      </c>
      <c r="R35" s="358">
        <f t="shared" si="10"/>
        <v>8.601583113456468E-2</v>
      </c>
      <c r="S35" s="358">
        <f t="shared" si="10"/>
        <v>4.0000000000000036E-2</v>
      </c>
      <c r="T35" s="358">
        <f t="shared" si="10"/>
        <v>8.0652680652680608E-2</v>
      </c>
      <c r="U35" s="358">
        <f t="shared" si="10"/>
        <v>8.6170212765957377E-2</v>
      </c>
      <c r="V35" s="358">
        <f t="shared" si="10"/>
        <v>8.7160184023421072E-2</v>
      </c>
      <c r="W35" s="195"/>
      <c r="X35" s="156"/>
    </row>
    <row r="36" spans="1:24" outlineLevel="1" x14ac:dyDescent="0.3">
      <c r="A36" s="161" t="s">
        <v>98</v>
      </c>
      <c r="B36" s="128" t="s">
        <v>248</v>
      </c>
      <c r="C36" s="195">
        <v>18099</v>
      </c>
      <c r="D36" s="128" t="s">
        <v>280</v>
      </c>
      <c r="E36" s="195">
        <v>19850</v>
      </c>
      <c r="F36" s="128"/>
      <c r="G36" s="195"/>
      <c r="H36" s="128"/>
      <c r="I36" s="195"/>
      <c r="J36" s="128"/>
      <c r="K36" s="195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</row>
    <row r="37" spans="1:24" s="49" customFormat="1" outlineLevel="1" x14ac:dyDescent="0.3">
      <c r="A37" s="169" t="s">
        <v>204</v>
      </c>
      <c r="B37" s="177"/>
      <c r="C37" s="196"/>
      <c r="D37" s="177" t="s">
        <v>246</v>
      </c>
      <c r="E37" s="196">
        <v>21200</v>
      </c>
      <c r="F37" s="177" t="s">
        <v>282</v>
      </c>
      <c r="G37" s="196">
        <v>20775</v>
      </c>
      <c r="H37" s="177" t="s">
        <v>217</v>
      </c>
      <c r="I37" s="196">
        <v>21038</v>
      </c>
      <c r="J37" s="177" t="s">
        <v>269</v>
      </c>
      <c r="K37" s="196">
        <v>18490</v>
      </c>
      <c r="O37" s="200"/>
      <c r="P37" s="200" t="s">
        <v>240</v>
      </c>
      <c r="Q37" s="200" t="s">
        <v>233</v>
      </c>
      <c r="R37" s="200" t="s">
        <v>197</v>
      </c>
      <c r="S37" s="200" t="s">
        <v>243</v>
      </c>
      <c r="T37" s="200" t="s">
        <v>234</v>
      </c>
      <c r="U37" s="200" t="s">
        <v>203</v>
      </c>
      <c r="V37" s="200" t="s">
        <v>291</v>
      </c>
      <c r="W37" s="200"/>
    </row>
    <row r="38" spans="1:24" outlineLevel="1" x14ac:dyDescent="0.3">
      <c r="A38" s="161" t="s">
        <v>214</v>
      </c>
      <c r="B38" s="128"/>
      <c r="C38" s="195"/>
      <c r="D38" s="128"/>
      <c r="E38" s="195"/>
      <c r="F38" s="128"/>
      <c r="G38" s="195"/>
      <c r="H38" s="128" t="s">
        <v>220</v>
      </c>
      <c r="I38" s="195">
        <v>17490</v>
      </c>
      <c r="J38" s="128" t="s">
        <v>271</v>
      </c>
      <c r="K38" s="195">
        <v>19490</v>
      </c>
      <c r="M38" s="156"/>
      <c r="N38" s="156"/>
      <c r="O38" s="200" t="s">
        <v>224</v>
      </c>
      <c r="P38" s="200">
        <v>11227.050000000001</v>
      </c>
      <c r="Q38" s="200">
        <v>6500</v>
      </c>
      <c r="R38" s="200">
        <v>20450</v>
      </c>
      <c r="S38" s="200">
        <v>3500</v>
      </c>
      <c r="T38" s="200">
        <v>23950</v>
      </c>
      <c r="U38" s="200">
        <v>30700</v>
      </c>
      <c r="V38" s="200">
        <v>25910</v>
      </c>
      <c r="W38" s="200"/>
      <c r="X38" s="156"/>
    </row>
    <row r="39" spans="1:24" s="49" customFormat="1" outlineLevel="1" x14ac:dyDescent="0.3">
      <c r="A39" s="169" t="s">
        <v>205</v>
      </c>
      <c r="B39" s="177"/>
      <c r="C39" s="196"/>
      <c r="D39" s="177" t="s">
        <v>278</v>
      </c>
      <c r="E39" s="196">
        <v>21200</v>
      </c>
      <c r="F39" s="177" t="s">
        <v>283</v>
      </c>
      <c r="G39" s="196">
        <v>23290</v>
      </c>
      <c r="H39" s="177" t="s">
        <v>218</v>
      </c>
      <c r="I39" s="196">
        <v>18893</v>
      </c>
      <c r="J39" s="177" t="s">
        <v>270</v>
      </c>
      <c r="K39" s="196">
        <v>20990</v>
      </c>
      <c r="O39" s="200" t="s">
        <v>161</v>
      </c>
      <c r="P39" s="200">
        <v>13148.550000000001</v>
      </c>
      <c r="Q39" s="200">
        <v>10000</v>
      </c>
      <c r="R39" s="200">
        <v>23950</v>
      </c>
      <c r="S39" s="200">
        <v>3500</v>
      </c>
      <c r="T39" s="200">
        <v>27450</v>
      </c>
      <c r="U39" s="200">
        <v>34200</v>
      </c>
      <c r="V39" s="200"/>
      <c r="W39" s="200"/>
    </row>
    <row r="40" spans="1:24" outlineLevel="1" x14ac:dyDescent="0.3">
      <c r="A40" s="161" t="s">
        <v>206</v>
      </c>
      <c r="B40" s="128"/>
      <c r="C40" s="195"/>
      <c r="D40" s="128"/>
      <c r="E40" s="195"/>
      <c r="F40" s="128"/>
      <c r="G40" s="195"/>
      <c r="H40" s="128" t="s">
        <v>221</v>
      </c>
      <c r="I40" s="195">
        <v>20295</v>
      </c>
      <c r="J40" s="128" t="s">
        <v>272</v>
      </c>
      <c r="K40" s="195">
        <v>20990</v>
      </c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1:24" outlineLevel="1" x14ac:dyDescent="0.3">
      <c r="B41" s="178"/>
      <c r="D41" s="178"/>
      <c r="F41" s="178"/>
      <c r="H41" s="178"/>
      <c r="J41" s="178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1:24" outlineLevel="1" x14ac:dyDescent="0.3">
      <c r="A42" s="161" t="s">
        <v>161</v>
      </c>
      <c r="B42" s="128"/>
      <c r="C42" s="195"/>
      <c r="D42" s="128"/>
      <c r="E42" s="195"/>
      <c r="F42" s="128"/>
      <c r="G42" s="195"/>
      <c r="H42" s="198" t="s">
        <v>222</v>
      </c>
      <c r="I42" s="195">
        <v>31598</v>
      </c>
      <c r="J42" s="128"/>
      <c r="K42" s="195"/>
      <c r="M42" s="156"/>
    </row>
    <row r="43" spans="1:24" s="49" customFormat="1" outlineLevel="1" x14ac:dyDescent="0.3">
      <c r="A43" s="169" t="s">
        <v>207</v>
      </c>
      <c r="B43" s="177"/>
      <c r="C43" s="196"/>
      <c r="D43" s="177" t="s">
        <v>279</v>
      </c>
      <c r="E43" s="196">
        <v>40000</v>
      </c>
      <c r="F43" s="177"/>
      <c r="G43" s="196"/>
      <c r="H43" s="199" t="s">
        <v>219</v>
      </c>
      <c r="I43" s="196">
        <v>25080</v>
      </c>
      <c r="J43" s="177"/>
      <c r="K43" s="196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</row>
    <row r="44" spans="1:24" outlineLevel="1" x14ac:dyDescent="0.3">
      <c r="A44" s="161" t="s">
        <v>208</v>
      </c>
      <c r="B44" s="128"/>
      <c r="C44" s="195"/>
      <c r="D44" s="128"/>
      <c r="E44" s="195"/>
      <c r="F44" s="128"/>
      <c r="G44" s="195"/>
      <c r="H44" s="198" t="s">
        <v>223</v>
      </c>
      <c r="I44" s="195">
        <v>23678</v>
      </c>
      <c r="J44" s="128" t="s">
        <v>273</v>
      </c>
      <c r="K44" s="195">
        <v>24990</v>
      </c>
    </row>
    <row r="45" spans="1:24" outlineLevel="1" x14ac:dyDescent="0.3">
      <c r="A45" s="161" t="s">
        <v>209</v>
      </c>
      <c r="B45" s="128"/>
      <c r="C45" s="195"/>
      <c r="D45" s="128"/>
      <c r="E45" s="195"/>
      <c r="F45" s="128"/>
      <c r="G45" s="195"/>
      <c r="H45" s="128"/>
      <c r="I45" s="195"/>
      <c r="J45" s="128" t="s">
        <v>274</v>
      </c>
      <c r="K45" s="195">
        <v>22490</v>
      </c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1:24" outlineLevel="1" x14ac:dyDescent="0.3"/>
    <row r="47" spans="1:24" outlineLevel="1" x14ac:dyDescent="0.3"/>
    <row r="48" spans="1:24" outlineLevel="1" x14ac:dyDescent="0.3">
      <c r="B48" s="186" t="s">
        <v>242</v>
      </c>
      <c r="C48" s="187" t="s">
        <v>199</v>
      </c>
      <c r="D48" s="188" t="s">
        <v>200</v>
      </c>
      <c r="E48" s="189" t="s">
        <v>201</v>
      </c>
      <c r="F48" s="190" t="s">
        <v>202</v>
      </c>
    </row>
    <row r="49" spans="1:6" outlineLevel="1" x14ac:dyDescent="0.3">
      <c r="A49" s="192" t="s">
        <v>225</v>
      </c>
      <c r="B49" s="192"/>
      <c r="C49" s="192"/>
      <c r="D49" s="192"/>
      <c r="E49" s="192"/>
      <c r="F49" s="193"/>
    </row>
    <row r="50" spans="1:6" outlineLevel="1" x14ac:dyDescent="0.3">
      <c r="A50" s="191" t="s">
        <v>254</v>
      </c>
      <c r="B50" s="195"/>
      <c r="C50" s="195"/>
      <c r="D50" s="195"/>
      <c r="E50" s="195">
        <v>2970</v>
      </c>
      <c r="F50" s="196"/>
    </row>
    <row r="51" spans="1:6" outlineLevel="1" x14ac:dyDescent="0.3">
      <c r="A51" s="191" t="s">
        <v>255</v>
      </c>
      <c r="B51" s="195"/>
      <c r="C51" s="195"/>
      <c r="D51" s="195"/>
      <c r="E51" s="195">
        <v>3465</v>
      </c>
      <c r="F51" s="196"/>
    </row>
    <row r="52" spans="1:6" outlineLevel="1" x14ac:dyDescent="0.3">
      <c r="A52" s="191" t="s">
        <v>256</v>
      </c>
      <c r="B52" s="195"/>
      <c r="C52" s="195"/>
      <c r="D52" s="195"/>
      <c r="E52" s="195"/>
      <c r="F52" s="196"/>
    </row>
    <row r="53" spans="1:6" outlineLevel="1" x14ac:dyDescent="0.3">
      <c r="A53" s="191" t="s">
        <v>257</v>
      </c>
      <c r="B53" s="195"/>
      <c r="C53" s="195"/>
      <c r="D53" s="195"/>
      <c r="E53" s="195"/>
      <c r="F53" s="196"/>
    </row>
    <row r="54" spans="1:6" outlineLevel="1" x14ac:dyDescent="0.3">
      <c r="A54" s="192" t="s">
        <v>253</v>
      </c>
      <c r="B54" s="216"/>
      <c r="C54" s="216"/>
      <c r="D54" s="216"/>
      <c r="E54" s="216"/>
      <c r="F54" s="228"/>
    </row>
    <row r="55" spans="1:6" outlineLevel="1" x14ac:dyDescent="0.3">
      <c r="A55" s="191" t="s">
        <v>254</v>
      </c>
      <c r="B55" s="195"/>
      <c r="C55" s="195"/>
      <c r="D55" s="195"/>
      <c r="E55" s="195"/>
      <c r="F55" s="196"/>
    </row>
    <row r="56" spans="1:6" outlineLevel="1" x14ac:dyDescent="0.3">
      <c r="A56" s="191" t="s">
        <v>255</v>
      </c>
      <c r="B56" s="195"/>
      <c r="C56" s="195"/>
      <c r="D56" s="195"/>
      <c r="E56" s="195"/>
      <c r="F56" s="196"/>
    </row>
    <row r="57" spans="1:6" outlineLevel="1" x14ac:dyDescent="0.3">
      <c r="A57" s="191" t="s">
        <v>256</v>
      </c>
      <c r="B57" s="195"/>
      <c r="C57" s="195"/>
      <c r="D57" s="195"/>
      <c r="E57" s="195"/>
      <c r="F57" s="196"/>
    </row>
    <row r="58" spans="1:6" outlineLevel="1" x14ac:dyDescent="0.3">
      <c r="A58" s="191" t="s">
        <v>257</v>
      </c>
      <c r="B58" s="195"/>
      <c r="C58" s="195"/>
      <c r="D58" s="195"/>
      <c r="E58" s="195"/>
      <c r="F58" s="196"/>
    </row>
    <row r="59" spans="1:6" outlineLevel="1" x14ac:dyDescent="0.3">
      <c r="A59" s="192" t="s">
        <v>243</v>
      </c>
      <c r="B59" s="216"/>
      <c r="C59" s="216"/>
      <c r="D59" s="216"/>
      <c r="E59" s="216"/>
      <c r="F59" s="228"/>
    </row>
    <row r="60" spans="1:6" outlineLevel="1" x14ac:dyDescent="0.3">
      <c r="A60" s="191" t="s">
        <v>254</v>
      </c>
      <c r="B60" s="195"/>
      <c r="C60" s="195"/>
      <c r="D60" s="195">
        <v>1750</v>
      </c>
      <c r="E60" s="195">
        <v>4290</v>
      </c>
      <c r="F60" s="196">
        <v>2500</v>
      </c>
    </row>
    <row r="61" spans="1:6" outlineLevel="1" x14ac:dyDescent="0.3">
      <c r="A61" s="191" t="s">
        <v>255</v>
      </c>
      <c r="B61" s="195"/>
      <c r="C61" s="195"/>
      <c r="D61" s="195">
        <f>D60+440</f>
        <v>2190</v>
      </c>
      <c r="E61" s="195">
        <v>4785</v>
      </c>
      <c r="F61" s="196">
        <v>3500</v>
      </c>
    </row>
    <row r="62" spans="1:6" outlineLevel="1" x14ac:dyDescent="0.3">
      <c r="A62" s="191" t="s">
        <v>256</v>
      </c>
      <c r="B62" s="195"/>
      <c r="C62" s="195"/>
      <c r="D62" s="195">
        <f>D60+875</f>
        <v>2625</v>
      </c>
      <c r="E62" s="195"/>
      <c r="F62" s="196"/>
    </row>
    <row r="63" spans="1:6" outlineLevel="1" x14ac:dyDescent="0.3">
      <c r="A63" s="191" t="s">
        <v>257</v>
      </c>
      <c r="B63" s="195"/>
      <c r="C63" s="195"/>
      <c r="D63" s="195"/>
      <c r="E63" s="195"/>
      <c r="F63" s="196">
        <v>4500</v>
      </c>
    </row>
  </sheetData>
  <sheetProtection formatCells="0" formatColumns="0" formatRows="0" insertColumns="0" insertRows="0" insertHyperlinks="0" deleteColumns="0" deleteRows="0" sort="0" autoFilter="0" pivotTables="0"/>
  <mergeCells count="7">
    <mergeCell ref="Z2:AA2"/>
    <mergeCell ref="J27:K27"/>
    <mergeCell ref="B2:C2"/>
    <mergeCell ref="B27:C27"/>
    <mergeCell ref="D27:E27"/>
    <mergeCell ref="F27:G27"/>
    <mergeCell ref="H27:I27"/>
  </mergeCells>
  <pageMargins left="0.25" right="0.25" top="0.75" bottom="0.75" header="0.3" footer="0.3"/>
  <pageSetup paperSize="9" scale="78" orientation="landscape" r:id="rId1"/>
  <rowBreaks count="1" manualBreakCount="1">
    <brk id="2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1"/>
  <sheetViews>
    <sheetView topLeftCell="A13" workbookViewId="0">
      <selection activeCell="K6" sqref="K6"/>
    </sheetView>
  </sheetViews>
  <sheetFormatPr defaultRowHeight="14.4" x14ac:dyDescent="0.3"/>
  <cols>
    <col min="1" max="2" width="12.6640625" customWidth="1"/>
    <col min="3" max="4" width="12.6640625" style="1" customWidth="1"/>
    <col min="5" max="9" width="12.6640625" customWidth="1"/>
  </cols>
  <sheetData>
    <row r="1" spans="1:9" ht="12.75" customHeight="1" x14ac:dyDescent="0.3">
      <c r="A1" s="33"/>
      <c r="B1" s="33"/>
      <c r="C1" s="33"/>
      <c r="D1" s="33"/>
      <c r="E1" s="33"/>
      <c r="F1" s="33"/>
      <c r="G1" s="33"/>
      <c r="H1" s="33"/>
      <c r="I1" s="33"/>
    </row>
    <row r="2" spans="1:9" ht="23.25" customHeight="1" x14ac:dyDescent="0.3">
      <c r="A2" s="33"/>
      <c r="B2" s="33"/>
      <c r="C2" s="41"/>
      <c r="D2" s="41"/>
      <c r="E2" s="41"/>
      <c r="F2" s="41"/>
      <c r="G2" s="41"/>
      <c r="H2" s="41"/>
      <c r="I2" s="42" t="s">
        <v>421</v>
      </c>
    </row>
    <row r="3" spans="1:9" ht="12.75" customHeight="1" x14ac:dyDescent="0.3">
      <c r="A3" s="33"/>
      <c r="B3" s="33"/>
      <c r="C3" s="33"/>
      <c r="D3" s="33"/>
      <c r="E3" s="33"/>
      <c r="F3" s="33"/>
      <c r="G3" s="33"/>
      <c r="H3" s="33"/>
      <c r="I3" s="33"/>
    </row>
    <row r="4" spans="1:9" ht="23.25" customHeight="1" x14ac:dyDescent="0.3">
      <c r="A4" s="43" t="s">
        <v>54</v>
      </c>
      <c r="B4" s="43"/>
      <c r="C4" s="43"/>
      <c r="D4" s="43"/>
      <c r="E4" s="43"/>
      <c r="F4" s="43"/>
      <c r="G4" s="43"/>
      <c r="H4" s="43"/>
      <c r="I4" s="43"/>
    </row>
    <row r="5" spans="1:9" ht="23.25" customHeight="1" x14ac:dyDescent="0.3">
      <c r="A5" s="43"/>
      <c r="B5" s="43"/>
      <c r="C5" s="43"/>
      <c r="D5" s="43"/>
      <c r="E5" s="43"/>
      <c r="F5" s="43"/>
      <c r="G5" s="43"/>
      <c r="H5" s="43"/>
      <c r="I5" s="43"/>
    </row>
    <row r="6" spans="1:9" ht="15.6" x14ac:dyDescent="0.3">
      <c r="A6" s="44" t="s">
        <v>61</v>
      </c>
      <c r="B6" s="43"/>
      <c r="C6" s="43"/>
      <c r="D6" s="43"/>
      <c r="E6" s="43"/>
      <c r="F6" s="43"/>
      <c r="G6" s="43"/>
      <c r="H6" s="43"/>
      <c r="I6" s="43"/>
    </row>
    <row r="7" spans="1:9" x14ac:dyDescent="0.3">
      <c r="A7" s="43"/>
      <c r="B7" s="43"/>
      <c r="C7" s="43"/>
      <c r="D7" s="43"/>
      <c r="E7" s="43"/>
      <c r="F7" s="43"/>
      <c r="G7" s="43"/>
      <c r="H7" s="43"/>
      <c r="I7" s="43"/>
    </row>
    <row r="8" spans="1:9" x14ac:dyDescent="0.3">
      <c r="A8" s="369" t="s">
        <v>369</v>
      </c>
      <c r="B8" s="369"/>
      <c r="C8" s="369"/>
      <c r="D8" s="369"/>
      <c r="E8" s="369"/>
      <c r="F8" s="369"/>
      <c r="G8" s="369"/>
      <c r="H8" s="369"/>
      <c r="I8" s="369"/>
    </row>
    <row r="9" spans="1:9" ht="10.5" customHeight="1" x14ac:dyDescent="0.3">
      <c r="A9" s="33"/>
      <c r="B9" s="33"/>
      <c r="C9" s="33"/>
      <c r="D9" s="33"/>
      <c r="E9" s="33"/>
      <c r="F9" s="33"/>
      <c r="G9" s="33"/>
      <c r="H9" s="33"/>
      <c r="I9" s="33"/>
    </row>
    <row r="10" spans="1:9" x14ac:dyDescent="0.3">
      <c r="A10" s="369" t="s">
        <v>56</v>
      </c>
      <c r="B10" s="369"/>
      <c r="C10" s="369"/>
      <c r="D10" s="369"/>
      <c r="E10" s="369"/>
      <c r="F10" s="369"/>
      <c r="G10" s="369"/>
      <c r="H10" s="369"/>
      <c r="I10" s="369"/>
    </row>
    <row r="11" spans="1:9" ht="10.5" customHeight="1" x14ac:dyDescent="0.3">
      <c r="A11" s="33"/>
      <c r="B11" s="33"/>
      <c r="C11" s="33"/>
      <c r="D11" s="33"/>
      <c r="E11" s="33"/>
      <c r="F11" s="33"/>
      <c r="G11" s="33"/>
      <c r="H11" s="33"/>
      <c r="I11" s="33"/>
    </row>
    <row r="12" spans="1:9" x14ac:dyDescent="0.3">
      <c r="A12" s="369" t="s">
        <v>229</v>
      </c>
      <c r="B12" s="369"/>
      <c r="C12" s="369"/>
      <c r="D12" s="369"/>
      <c r="E12" s="369"/>
      <c r="F12" s="369"/>
      <c r="G12" s="369"/>
      <c r="H12" s="369"/>
      <c r="I12" s="369"/>
    </row>
    <row r="13" spans="1:9" x14ac:dyDescent="0.3">
      <c r="A13" s="369" t="s">
        <v>230</v>
      </c>
      <c r="B13" s="369"/>
      <c r="C13" s="369"/>
      <c r="D13" s="369"/>
      <c r="E13" s="369"/>
      <c r="F13" s="369"/>
      <c r="G13" s="369"/>
      <c r="H13" s="369"/>
      <c r="I13" s="369"/>
    </row>
    <row r="14" spans="1:9" x14ac:dyDescent="0.3">
      <c r="A14" s="369" t="s">
        <v>385</v>
      </c>
      <c r="B14" s="369"/>
      <c r="C14" s="369"/>
      <c r="D14" s="369"/>
      <c r="E14" s="369"/>
      <c r="F14" s="369"/>
      <c r="G14" s="369"/>
      <c r="H14" s="369"/>
      <c r="I14" s="369"/>
    </row>
    <row r="15" spans="1:9" x14ac:dyDescent="0.3">
      <c r="A15" s="369" t="s">
        <v>386</v>
      </c>
      <c r="B15" s="369"/>
      <c r="C15" s="369"/>
      <c r="D15" s="369"/>
      <c r="E15" s="369"/>
      <c r="F15" s="369"/>
      <c r="G15" s="369"/>
      <c r="H15" s="369"/>
      <c r="I15" s="369"/>
    </row>
    <row r="16" spans="1:9" ht="10.5" customHeight="1" x14ac:dyDescent="0.3">
      <c r="A16" s="33"/>
      <c r="B16" s="33"/>
      <c r="C16" s="33"/>
      <c r="D16" s="33"/>
      <c r="E16" s="33"/>
      <c r="F16" s="33"/>
      <c r="G16" s="33"/>
      <c r="H16" s="33"/>
      <c r="I16" s="33"/>
    </row>
    <row r="17" spans="1:9" x14ac:dyDescent="0.3">
      <c r="A17" s="369" t="s">
        <v>58</v>
      </c>
      <c r="B17" s="369"/>
      <c r="C17" s="369"/>
      <c r="D17" s="369"/>
      <c r="E17" s="369"/>
      <c r="F17" s="369"/>
      <c r="G17" s="369"/>
      <c r="H17" s="369"/>
      <c r="I17" s="369"/>
    </row>
    <row r="18" spans="1:9" ht="9" customHeight="1" x14ac:dyDescent="0.3">
      <c r="A18" s="33"/>
      <c r="B18" s="33"/>
      <c r="C18" s="33"/>
      <c r="D18" s="33"/>
      <c r="E18" s="33"/>
      <c r="F18" s="33"/>
      <c r="G18" s="33"/>
      <c r="H18" s="33"/>
      <c r="I18" s="33"/>
    </row>
    <row r="19" spans="1:9" x14ac:dyDescent="0.3">
      <c r="A19" s="369" t="s">
        <v>60</v>
      </c>
      <c r="B19" s="369"/>
      <c r="C19" s="369"/>
      <c r="D19" s="369"/>
      <c r="E19" s="369"/>
      <c r="F19" s="369"/>
      <c r="G19" s="369"/>
      <c r="H19" s="369"/>
      <c r="I19" s="369"/>
    </row>
    <row r="20" spans="1:9" ht="9" customHeight="1" x14ac:dyDescent="0.3">
      <c r="A20" s="33"/>
      <c r="B20" s="33"/>
      <c r="C20" s="33"/>
      <c r="D20" s="33"/>
      <c r="E20" s="33"/>
      <c r="F20" s="33"/>
      <c r="G20" s="33"/>
      <c r="H20" s="33"/>
      <c r="I20" s="33"/>
    </row>
    <row r="21" spans="1:9" x14ac:dyDescent="0.3">
      <c r="A21" s="369" t="s">
        <v>227</v>
      </c>
      <c r="B21" s="369"/>
      <c r="C21" s="369"/>
      <c r="D21" s="369"/>
      <c r="E21" s="369"/>
      <c r="F21" s="369"/>
      <c r="G21" s="369"/>
      <c r="H21" s="369"/>
      <c r="I21" s="369"/>
    </row>
    <row r="22" spans="1:9" x14ac:dyDescent="0.3">
      <c r="A22" s="369" t="s">
        <v>228</v>
      </c>
      <c r="B22" s="369"/>
      <c r="C22" s="369"/>
      <c r="D22" s="369"/>
      <c r="E22" s="369"/>
      <c r="F22" s="369"/>
      <c r="G22" s="369"/>
      <c r="H22" s="369"/>
      <c r="I22" s="369"/>
    </row>
    <row r="23" spans="1:9" x14ac:dyDescent="0.3">
      <c r="A23" s="369" t="s">
        <v>183</v>
      </c>
      <c r="B23" s="369"/>
      <c r="C23" s="369"/>
      <c r="D23" s="369"/>
      <c r="E23" s="369"/>
      <c r="F23" s="369"/>
      <c r="G23" s="369"/>
      <c r="H23" s="369"/>
      <c r="I23" s="369"/>
    </row>
    <row r="24" spans="1:9" ht="27" customHeight="1" x14ac:dyDescent="0.3">
      <c r="A24" s="33"/>
      <c r="B24" s="33"/>
      <c r="C24" s="33"/>
      <c r="D24" s="33"/>
      <c r="E24" s="33"/>
      <c r="F24" s="33"/>
      <c r="G24" s="33"/>
      <c r="H24" s="33"/>
      <c r="I24" s="33"/>
    </row>
    <row r="25" spans="1:9" ht="15.6" x14ac:dyDescent="0.3">
      <c r="A25" s="44" t="s">
        <v>178</v>
      </c>
      <c r="B25" s="43"/>
      <c r="C25" s="43"/>
      <c r="D25" s="43"/>
      <c r="E25" s="43"/>
      <c r="F25" s="43"/>
      <c r="G25" s="43"/>
      <c r="H25" s="43"/>
      <c r="I25" s="43"/>
    </row>
    <row r="26" spans="1:9" x14ac:dyDescent="0.3">
      <c r="A26" s="134" t="s">
        <v>49</v>
      </c>
      <c r="B26" s="43"/>
      <c r="C26" s="43"/>
      <c r="D26" s="43"/>
      <c r="E26" s="43"/>
      <c r="F26" s="43"/>
      <c r="G26" s="43"/>
      <c r="H26" s="43"/>
      <c r="I26" s="43"/>
    </row>
    <row r="27" spans="1:9" s="106" customFormat="1" x14ac:dyDescent="0.3">
      <c r="A27" s="134" t="s">
        <v>179</v>
      </c>
      <c r="B27" s="43"/>
      <c r="C27" s="43"/>
      <c r="D27" s="43"/>
      <c r="E27" s="43"/>
      <c r="F27" s="43"/>
      <c r="G27" s="43"/>
      <c r="H27" s="43"/>
      <c r="I27" s="43"/>
    </row>
    <row r="28" spans="1:9" s="106" customFormat="1" x14ac:dyDescent="0.3">
      <c r="A28" s="134" t="s">
        <v>50</v>
      </c>
      <c r="B28" s="43"/>
      <c r="C28" s="43"/>
      <c r="D28" s="43"/>
      <c r="E28" s="43"/>
      <c r="F28" s="43"/>
      <c r="G28" s="43"/>
      <c r="H28" s="43"/>
      <c r="I28" s="43"/>
    </row>
    <row r="29" spans="1:9" ht="27" customHeight="1" x14ac:dyDescent="0.3">
      <c r="A29" s="33"/>
      <c r="B29" s="33"/>
      <c r="C29" s="33"/>
      <c r="D29" s="33"/>
      <c r="E29" s="33"/>
      <c r="F29" s="33"/>
      <c r="G29" s="33"/>
      <c r="H29" s="33"/>
      <c r="I29" s="33"/>
    </row>
    <row r="30" spans="1:9" ht="15.6" x14ac:dyDescent="0.3">
      <c r="A30" s="44" t="s">
        <v>177</v>
      </c>
      <c r="B30" s="43"/>
      <c r="C30" s="43"/>
      <c r="D30" s="43"/>
      <c r="E30" s="43"/>
      <c r="F30" s="43"/>
      <c r="G30" s="43"/>
      <c r="H30" s="43"/>
      <c r="I30" s="43"/>
    </row>
    <row r="31" spans="1:9" x14ac:dyDescent="0.3">
      <c r="A31" s="134" t="s">
        <v>176</v>
      </c>
      <c r="B31" s="43"/>
      <c r="C31" s="43"/>
      <c r="D31" s="43"/>
      <c r="E31" s="43"/>
      <c r="F31" s="43"/>
      <c r="G31" s="43"/>
      <c r="H31" s="43"/>
      <c r="I31" s="43"/>
    </row>
    <row r="32" spans="1:9" x14ac:dyDescent="0.3">
      <c r="A32" s="134" t="s">
        <v>63</v>
      </c>
      <c r="B32" s="43"/>
      <c r="C32" s="43"/>
      <c r="D32" s="43"/>
      <c r="E32" s="43"/>
      <c r="F32" s="43"/>
      <c r="G32" s="43"/>
      <c r="H32" s="43"/>
      <c r="I32" s="43"/>
    </row>
    <row r="33" spans="1:9" x14ac:dyDescent="0.3">
      <c r="A33" s="242" t="s">
        <v>152</v>
      </c>
      <c r="C33"/>
      <c r="D33"/>
    </row>
    <row r="34" spans="1:9" x14ac:dyDescent="0.3">
      <c r="A34" s="135" t="s">
        <v>72</v>
      </c>
      <c r="B34" s="33"/>
      <c r="C34" s="33"/>
      <c r="D34" s="33"/>
      <c r="E34" s="33"/>
      <c r="F34" s="33"/>
      <c r="G34" s="33"/>
      <c r="H34" s="33"/>
      <c r="I34" s="33"/>
    </row>
    <row r="35" spans="1:9" x14ac:dyDescent="0.3">
      <c r="C35"/>
      <c r="D35"/>
    </row>
    <row r="36" spans="1:9" x14ac:dyDescent="0.3">
      <c r="C36"/>
      <c r="D36"/>
    </row>
    <row r="37" spans="1:9" x14ac:dyDescent="0.3">
      <c r="C37"/>
      <c r="D37"/>
    </row>
    <row r="38" spans="1:9" x14ac:dyDescent="0.3">
      <c r="C38"/>
      <c r="D38"/>
    </row>
    <row r="39" spans="1:9" x14ac:dyDescent="0.3">
      <c r="C39"/>
      <c r="D39"/>
    </row>
    <row r="40" spans="1:9" x14ac:dyDescent="0.3">
      <c r="C40"/>
      <c r="D40"/>
    </row>
    <row r="41" spans="1:9" x14ac:dyDescent="0.3">
      <c r="C41"/>
      <c r="D41"/>
    </row>
    <row r="42" spans="1:9" x14ac:dyDescent="0.3">
      <c r="C42"/>
      <c r="D42"/>
    </row>
    <row r="43" spans="1:9" x14ac:dyDescent="0.3">
      <c r="C43"/>
      <c r="D43"/>
    </row>
    <row r="44" spans="1:9" x14ac:dyDescent="0.3">
      <c r="C44"/>
      <c r="D44"/>
    </row>
    <row r="45" spans="1:9" x14ac:dyDescent="0.3">
      <c r="C45"/>
      <c r="D45"/>
    </row>
    <row r="46" spans="1:9" x14ac:dyDescent="0.3">
      <c r="C46"/>
      <c r="D46"/>
    </row>
    <row r="47" spans="1:9" x14ac:dyDescent="0.3">
      <c r="C47"/>
      <c r="D47"/>
    </row>
    <row r="48" spans="1:9" x14ac:dyDescent="0.3">
      <c r="C48"/>
      <c r="D48"/>
    </row>
    <row r="49" spans="3:4" x14ac:dyDescent="0.3">
      <c r="C49"/>
      <c r="D49"/>
    </row>
    <row r="50" spans="3:4" x14ac:dyDescent="0.3">
      <c r="C50"/>
      <c r="D50"/>
    </row>
    <row r="51" spans="3:4" x14ac:dyDescent="0.3">
      <c r="C51"/>
      <c r="D51"/>
    </row>
    <row r="52" spans="3:4" x14ac:dyDescent="0.3">
      <c r="C52"/>
      <c r="D52"/>
    </row>
    <row r="53" spans="3:4" x14ac:dyDescent="0.3">
      <c r="C53"/>
      <c r="D53"/>
    </row>
    <row r="54" spans="3:4" x14ac:dyDescent="0.3">
      <c r="C54"/>
      <c r="D54"/>
    </row>
    <row r="55" spans="3:4" x14ac:dyDescent="0.3">
      <c r="C55"/>
      <c r="D55"/>
    </row>
    <row r="56" spans="3:4" x14ac:dyDescent="0.3">
      <c r="C56"/>
      <c r="D56"/>
    </row>
    <row r="57" spans="3:4" x14ac:dyDescent="0.3">
      <c r="C57"/>
      <c r="D57"/>
    </row>
    <row r="58" spans="3:4" x14ac:dyDescent="0.3">
      <c r="C58"/>
      <c r="D58"/>
    </row>
    <row r="59" spans="3:4" x14ac:dyDescent="0.3">
      <c r="C59"/>
      <c r="D59"/>
    </row>
    <row r="60" spans="3:4" x14ac:dyDescent="0.3">
      <c r="C60"/>
      <c r="D60"/>
    </row>
    <row r="61" spans="3:4" x14ac:dyDescent="0.3">
      <c r="C61"/>
      <c r="D61"/>
    </row>
    <row r="62" spans="3:4" x14ac:dyDescent="0.3">
      <c r="C62"/>
      <c r="D62"/>
    </row>
    <row r="63" spans="3:4" x14ac:dyDescent="0.3">
      <c r="C63"/>
      <c r="D63"/>
    </row>
    <row r="64" spans="3:4" x14ac:dyDescent="0.3">
      <c r="C64"/>
      <c r="D64"/>
    </row>
    <row r="65" spans="1:9" x14ac:dyDescent="0.3">
      <c r="C65"/>
      <c r="D65"/>
    </row>
    <row r="66" spans="1:9" x14ac:dyDescent="0.3">
      <c r="C66"/>
      <c r="D66"/>
    </row>
    <row r="67" spans="1:9" x14ac:dyDescent="0.3">
      <c r="C67"/>
      <c r="D67"/>
    </row>
    <row r="68" spans="1:9" x14ac:dyDescent="0.3">
      <c r="C68"/>
      <c r="D68"/>
    </row>
    <row r="69" spans="1:9" x14ac:dyDescent="0.3">
      <c r="C69"/>
      <c r="D69"/>
    </row>
    <row r="70" spans="1:9" x14ac:dyDescent="0.3">
      <c r="C70"/>
      <c r="D70"/>
    </row>
    <row r="71" spans="1:9" x14ac:dyDescent="0.3">
      <c r="C71"/>
      <c r="D71"/>
    </row>
    <row r="72" spans="1:9" x14ac:dyDescent="0.3">
      <c r="C72"/>
      <c r="D72"/>
    </row>
    <row r="73" spans="1:9" x14ac:dyDescent="0.3">
      <c r="C73"/>
      <c r="D73"/>
    </row>
    <row r="74" spans="1:9" x14ac:dyDescent="0.3">
      <c r="C74"/>
      <c r="D74"/>
    </row>
    <row r="75" spans="1:9" x14ac:dyDescent="0.3">
      <c r="C75"/>
      <c r="D75"/>
    </row>
    <row r="76" spans="1:9" x14ac:dyDescent="0.3">
      <c r="C76"/>
      <c r="D76"/>
    </row>
    <row r="77" spans="1:9" ht="15" customHeight="1" x14ac:dyDescent="0.3">
      <c r="C77"/>
      <c r="D77"/>
    </row>
    <row r="78" spans="1:9" x14ac:dyDescent="0.3">
      <c r="A78" s="39"/>
      <c r="B78" s="39"/>
      <c r="C78" s="40"/>
      <c r="D78" s="40"/>
    </row>
    <row r="79" spans="1:9" x14ac:dyDescent="0.3">
      <c r="B79" s="39"/>
      <c r="C79" s="39"/>
      <c r="D79" s="40"/>
      <c r="E79" s="40"/>
      <c r="F79" s="40"/>
      <c r="G79" s="40"/>
      <c r="H79" s="40"/>
      <c r="I79" s="40"/>
    </row>
    <row r="80" spans="1:9" x14ac:dyDescent="0.3">
      <c r="A80" s="39"/>
      <c r="B80" s="39"/>
      <c r="C80" s="40"/>
      <c r="D80" s="40"/>
    </row>
    <row r="81" spans="1:4" x14ac:dyDescent="0.3">
      <c r="A81" s="39"/>
      <c r="B81" s="39"/>
      <c r="C81" s="40"/>
      <c r="D81" s="40"/>
    </row>
    <row r="82" spans="1:4" x14ac:dyDescent="0.3">
      <c r="A82" s="39"/>
      <c r="B82" s="39"/>
      <c r="C82" s="40"/>
      <c r="D82" s="40"/>
    </row>
    <row r="83" spans="1:4" x14ac:dyDescent="0.3">
      <c r="A83" s="39"/>
      <c r="B83" s="39"/>
      <c r="C83" s="40"/>
      <c r="D83" s="40"/>
    </row>
    <row r="84" spans="1:4" x14ac:dyDescent="0.3">
      <c r="A84" s="39"/>
      <c r="B84" s="39"/>
      <c r="C84" s="40"/>
      <c r="D84" s="40"/>
    </row>
    <row r="85" spans="1:4" x14ac:dyDescent="0.3">
      <c r="A85" s="39"/>
      <c r="B85" s="39"/>
      <c r="C85" s="40"/>
      <c r="D85" s="40"/>
    </row>
    <row r="86" spans="1:4" x14ac:dyDescent="0.3">
      <c r="A86" s="39"/>
      <c r="B86" s="39"/>
      <c r="C86" s="40"/>
      <c r="D86" s="40"/>
    </row>
    <row r="87" spans="1:4" x14ac:dyDescent="0.3">
      <c r="A87" s="39"/>
      <c r="B87" s="39"/>
      <c r="C87" s="40"/>
      <c r="D87" s="40"/>
    </row>
    <row r="88" spans="1:4" x14ac:dyDescent="0.3">
      <c r="A88" s="39"/>
      <c r="B88" s="39"/>
      <c r="C88" s="40"/>
      <c r="D88" s="40"/>
    </row>
    <row r="89" spans="1:4" x14ac:dyDescent="0.3">
      <c r="A89" s="39"/>
      <c r="B89" s="39"/>
      <c r="C89" s="40"/>
      <c r="D89" s="40"/>
    </row>
    <row r="90" spans="1:4" x14ac:dyDescent="0.3">
      <c r="A90" s="39"/>
      <c r="B90" s="39"/>
      <c r="C90" s="40"/>
      <c r="D90" s="40"/>
    </row>
    <row r="91" spans="1:4" x14ac:dyDescent="0.3">
      <c r="A91" s="39"/>
      <c r="B91" s="39"/>
      <c r="C91" s="40"/>
      <c r="D91" s="40"/>
    </row>
    <row r="92" spans="1:4" x14ac:dyDescent="0.3">
      <c r="A92" s="39"/>
      <c r="B92" s="39"/>
      <c r="C92" s="40"/>
      <c r="D92" s="40"/>
    </row>
    <row r="93" spans="1:4" x14ac:dyDescent="0.3">
      <c r="A93" s="39"/>
      <c r="B93" s="39"/>
      <c r="C93" s="40"/>
      <c r="D93" s="40"/>
    </row>
    <row r="94" spans="1:4" x14ac:dyDescent="0.3">
      <c r="A94" s="39"/>
      <c r="B94" s="39"/>
      <c r="C94" s="40"/>
      <c r="D94" s="40"/>
    </row>
    <row r="95" spans="1:4" x14ac:dyDescent="0.3">
      <c r="A95" s="39"/>
      <c r="B95" s="39"/>
      <c r="C95" s="40"/>
      <c r="D95" s="40"/>
    </row>
    <row r="96" spans="1:4" x14ac:dyDescent="0.3">
      <c r="A96" s="39"/>
      <c r="B96" s="39"/>
      <c r="C96" s="40"/>
      <c r="D96" s="40"/>
    </row>
    <row r="97" spans="1:4" x14ac:dyDescent="0.3">
      <c r="A97" s="39"/>
      <c r="B97" s="39"/>
      <c r="C97" s="40"/>
      <c r="D97" s="40"/>
    </row>
    <row r="98" spans="1:4" x14ac:dyDescent="0.3">
      <c r="A98" s="39"/>
      <c r="B98" s="39"/>
      <c r="C98" s="40"/>
      <c r="D98" s="40"/>
    </row>
    <row r="99" spans="1:4" x14ac:dyDescent="0.3">
      <c r="A99" s="39"/>
      <c r="B99" s="39"/>
      <c r="C99" s="40"/>
      <c r="D99" s="40"/>
    </row>
    <row r="100" spans="1:4" x14ac:dyDescent="0.3">
      <c r="A100" s="39"/>
      <c r="B100" s="39"/>
      <c r="C100" s="40"/>
      <c r="D100" s="40"/>
    </row>
    <row r="101" spans="1:4" x14ac:dyDescent="0.3">
      <c r="A101" s="39"/>
      <c r="B101" s="39"/>
      <c r="C101" s="40"/>
      <c r="D101" s="40"/>
    </row>
  </sheetData>
  <mergeCells count="11">
    <mergeCell ref="A19:I19"/>
    <mergeCell ref="A23:I23"/>
    <mergeCell ref="A8:I8"/>
    <mergeCell ref="A10:I10"/>
    <mergeCell ref="A12:I12"/>
    <mergeCell ref="A17:I17"/>
    <mergeCell ref="A21:I21"/>
    <mergeCell ref="A22:I22"/>
    <mergeCell ref="A13:I13"/>
    <mergeCell ref="A14:I14"/>
    <mergeCell ref="A15:I15"/>
  </mergeCells>
  <hyperlinks>
    <hyperlink ref="A19:I19" location="Duet!A1" display="Коллекция Techno Duet"/>
    <hyperlink ref="A12:I12" location="'Porte39-00'!A1" display="Коллекция Techno Porte 39-00"/>
    <hyperlink ref="A10:I10" location="Twist!A1" display="Коллекция Twist"/>
    <hyperlink ref="A8:I8" location="Fusion!A1" display="Коллекция Fusion"/>
    <hyperlink ref="A26" location="Погонаж!A1" display="ПОГОНАЖ"/>
    <hyperlink ref="A32" location="покрытия!A1" display="Покрытия"/>
    <hyperlink ref="A31" location="модели!A1" display="Модели"/>
    <hyperlink ref="A34" location="Наценки!A1" display="Наценки"/>
    <hyperlink ref="A21:I21" location="'Vetro11, 13'!A1" display="Коллекция Techno Vetro11, 13"/>
    <hyperlink ref="A23:I23" location="'Vetro18, 20, 21'!A1" display="Коллекция Techno Vetro18, 20, 21"/>
    <hyperlink ref="A17:I17" location="Slot!A1" display="Коллекция Techno Slot"/>
    <hyperlink ref="A22:I22" location="'Vetro12,14,19'!A1" display="Коллекция Techno Vetro12, 14, 19"/>
    <hyperlink ref="A13:I13" location="'Porte 39-01'!A1" display="Коллекция Techno Porte 39-01"/>
    <hyperlink ref="A27" location="Накладки!A1" display="Накладки"/>
    <hyperlink ref="A28" location="Стен.панели!A1" display="Стеновые панели"/>
    <hyperlink ref="A33" location="декоры!A1" display="Декоры"/>
    <hyperlink ref="A14:I14" location="'Porte52-00'!A1" display="Коллекция Techno Porte 52-00"/>
    <hyperlink ref="A15:I15" location="'Porte 52-01'!A1" display="Коллекция Techno Porte 52-01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1"/>
  <sheetViews>
    <sheetView view="pageBreakPreview" topLeftCell="A76" zoomScale="112" zoomScaleNormal="100" zoomScaleSheetLayoutView="112" workbookViewId="0">
      <selection activeCell="M84" sqref="M84"/>
    </sheetView>
  </sheetViews>
  <sheetFormatPr defaultColWidth="9.109375" defaultRowHeight="14.4" outlineLevelCol="1" x14ac:dyDescent="0.3"/>
  <cols>
    <col min="1" max="1" width="10.6640625" style="96" customWidth="1"/>
    <col min="2" max="4" width="10.6640625" style="58" customWidth="1"/>
    <col min="5" max="7" width="10.88671875" style="58" customWidth="1"/>
    <col min="8" max="8" width="10.88671875" style="90" customWidth="1" outlineLevel="1"/>
    <col min="9" max="10" width="0" style="58" hidden="1" customWidth="1"/>
    <col min="11" max="16384" width="9.109375" style="58"/>
  </cols>
  <sheetData>
    <row r="1" spans="1:10" ht="18.75" customHeight="1" x14ac:dyDescent="0.3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  <c r="H1" s="41"/>
    </row>
    <row r="2" spans="1:10" ht="20.25" customHeight="1" x14ac:dyDescent="0.3">
      <c r="A2" s="91"/>
      <c r="B2" s="57"/>
      <c r="C2" s="57"/>
      <c r="D2" s="57"/>
      <c r="E2" s="57"/>
      <c r="F2"/>
      <c r="G2"/>
    </row>
    <row r="3" spans="1:10" ht="24" customHeight="1" x14ac:dyDescent="0.3">
      <c r="A3" s="368" t="s">
        <v>71</v>
      </c>
      <c r="B3" s="368"/>
      <c r="C3" s="368"/>
      <c r="D3" s="368"/>
      <c r="E3" s="368"/>
      <c r="F3" s="368"/>
      <c r="G3" s="368"/>
      <c r="H3" s="82">
        <v>0.39</v>
      </c>
    </row>
    <row r="4" spans="1:10" ht="17.399999999999999" x14ac:dyDescent="0.3">
      <c r="A4" s="397" t="s">
        <v>94</v>
      </c>
      <c r="B4" s="397"/>
      <c r="C4" s="397"/>
      <c r="D4" s="397"/>
      <c r="E4" s="397"/>
      <c r="F4" s="397"/>
      <c r="G4" s="397"/>
      <c r="H4" s="81"/>
    </row>
    <row r="5" spans="1:10" ht="11.25" customHeight="1" x14ac:dyDescent="0.3">
      <c r="A5" s="98"/>
      <c r="B5" s="98"/>
      <c r="C5" s="98"/>
      <c r="D5" s="98"/>
      <c r="E5" s="98"/>
      <c r="F5" s="98"/>
      <c r="G5" s="98"/>
      <c r="H5" s="81"/>
    </row>
    <row r="6" spans="1:10" x14ac:dyDescent="0.3">
      <c r="A6" s="374" t="s">
        <v>78</v>
      </c>
      <c r="B6" s="374"/>
      <c r="C6" s="374"/>
      <c r="D6" s="374"/>
      <c r="E6" s="52" t="s">
        <v>66</v>
      </c>
      <c r="F6" s="52" t="s">
        <v>69</v>
      </c>
      <c r="G6" s="56" t="s">
        <v>108</v>
      </c>
      <c r="H6" s="83" t="s">
        <v>109</v>
      </c>
      <c r="I6" s="370" t="s">
        <v>400</v>
      </c>
      <c r="J6" s="370" t="s">
        <v>416</v>
      </c>
    </row>
    <row r="7" spans="1:10" ht="15" customHeight="1" x14ac:dyDescent="0.3">
      <c r="A7" s="92" t="s">
        <v>89</v>
      </c>
      <c r="B7" s="75"/>
      <c r="C7" s="75"/>
      <c r="D7" s="75"/>
      <c r="E7" s="75"/>
      <c r="F7" s="75"/>
      <c r="G7" s="76"/>
      <c r="H7" s="84"/>
      <c r="I7" s="370"/>
      <c r="J7" s="370"/>
    </row>
    <row r="8" spans="1:10" ht="15" customHeight="1" x14ac:dyDescent="0.3">
      <c r="A8" s="93" t="s">
        <v>99</v>
      </c>
      <c r="B8" s="77"/>
      <c r="C8" s="77"/>
      <c r="D8" s="77"/>
      <c r="E8" s="77"/>
      <c r="F8" s="77"/>
      <c r="G8" s="78"/>
      <c r="H8" s="85"/>
    </row>
    <row r="9" spans="1:10" ht="15" customHeight="1" x14ac:dyDescent="0.3">
      <c r="A9" s="373" t="s">
        <v>106</v>
      </c>
      <c r="B9" s="373"/>
      <c r="C9" s="373"/>
      <c r="D9" s="373"/>
      <c r="E9" s="59">
        <v>2120</v>
      </c>
      <c r="F9" s="50" t="s">
        <v>70</v>
      </c>
      <c r="G9" s="48">
        <f>база!C4</f>
        <v>1200</v>
      </c>
      <c r="H9" s="86">
        <f t="shared" ref="H9:H14" si="0">G9*(1-$H$3)</f>
        <v>732</v>
      </c>
      <c r="I9" s="48">
        <v>1100</v>
      </c>
      <c r="J9" s="339">
        <f>G9/I9-1</f>
        <v>9.0909090909090828E-2</v>
      </c>
    </row>
    <row r="10" spans="1:10" ht="15" customHeight="1" x14ac:dyDescent="0.3">
      <c r="A10" s="373"/>
      <c r="B10" s="373"/>
      <c r="C10" s="373"/>
      <c r="D10" s="373"/>
      <c r="E10" s="59">
        <v>2400</v>
      </c>
      <c r="F10" s="47">
        <v>0.1</v>
      </c>
      <c r="G10" s="46">
        <f>CEILING(G9*(1+F10), 10)</f>
        <v>1320</v>
      </c>
      <c r="H10" s="87">
        <f t="shared" si="0"/>
        <v>805.19999999999993</v>
      </c>
      <c r="I10" s="46">
        <v>1210</v>
      </c>
      <c r="J10" s="339">
        <f t="shared" ref="J10:J71" si="1">G10/I10-1</f>
        <v>9.0909090909090828E-2</v>
      </c>
    </row>
    <row r="11" spans="1:10" ht="15" customHeight="1" thickBot="1" x14ac:dyDescent="0.35">
      <c r="A11" s="390"/>
      <c r="B11" s="390"/>
      <c r="C11" s="390"/>
      <c r="D11" s="390"/>
      <c r="E11" s="68">
        <v>2700</v>
      </c>
      <c r="F11" s="69">
        <v>0.3</v>
      </c>
      <c r="G11" s="70">
        <f>CEILING(G9*(1+F11), 10)</f>
        <v>1560</v>
      </c>
      <c r="H11" s="100">
        <f t="shared" si="0"/>
        <v>951.6</v>
      </c>
      <c r="I11" s="70">
        <v>1430</v>
      </c>
      <c r="J11" s="339">
        <f t="shared" si="1"/>
        <v>9.0909090909090828E-2</v>
      </c>
    </row>
    <row r="12" spans="1:10" ht="15" customHeight="1" thickTop="1" x14ac:dyDescent="0.3">
      <c r="A12" s="378" t="s">
        <v>107</v>
      </c>
      <c r="B12" s="378"/>
      <c r="C12" s="378"/>
      <c r="D12" s="378"/>
      <c r="E12" s="60">
        <v>2120</v>
      </c>
      <c r="F12" s="60"/>
      <c r="G12" s="62">
        <f>CEILING(G9*2.7, 10)</f>
        <v>3240</v>
      </c>
      <c r="H12" s="99">
        <f t="shared" si="0"/>
        <v>1976.3999999999999</v>
      </c>
      <c r="I12" s="62">
        <v>2950</v>
      </c>
      <c r="J12" s="339">
        <f t="shared" si="1"/>
        <v>9.8305084745762716E-2</v>
      </c>
    </row>
    <row r="13" spans="1:10" ht="15" customHeight="1" x14ac:dyDescent="0.3">
      <c r="A13" s="373"/>
      <c r="B13" s="373"/>
      <c r="C13" s="373"/>
      <c r="D13" s="373"/>
      <c r="E13" s="59">
        <v>2400</v>
      </c>
      <c r="F13" s="47">
        <v>0.1</v>
      </c>
      <c r="G13" s="46">
        <f>CEILING(G12*(1+F13), 10)</f>
        <v>3570</v>
      </c>
      <c r="H13" s="87">
        <f t="shared" si="0"/>
        <v>2177.6999999999998</v>
      </c>
      <c r="I13" s="46">
        <v>3250</v>
      </c>
      <c r="J13" s="339">
        <f t="shared" si="1"/>
        <v>9.8461538461538378E-2</v>
      </c>
    </row>
    <row r="14" spans="1:10" ht="15" customHeight="1" x14ac:dyDescent="0.3">
      <c r="A14" s="373"/>
      <c r="B14" s="373"/>
      <c r="C14" s="373"/>
      <c r="D14" s="373"/>
      <c r="E14" s="59">
        <v>2700</v>
      </c>
      <c r="F14" s="47">
        <v>0.3</v>
      </c>
      <c r="G14" s="46">
        <f>CEILING(G12*(1+F14), 10)</f>
        <v>4220</v>
      </c>
      <c r="H14" s="87">
        <f t="shared" si="0"/>
        <v>2574.1999999999998</v>
      </c>
      <c r="I14" s="46">
        <v>3840</v>
      </c>
      <c r="J14" s="339">
        <f t="shared" si="1"/>
        <v>9.8958333333333259E-2</v>
      </c>
    </row>
    <row r="15" spans="1:10" ht="15" customHeight="1" x14ac:dyDescent="0.3">
      <c r="A15" s="94" t="s">
        <v>100</v>
      </c>
      <c r="B15" s="79"/>
      <c r="C15" s="79"/>
      <c r="D15" s="79"/>
      <c r="E15" s="79"/>
      <c r="F15" s="79"/>
      <c r="G15" s="80"/>
      <c r="H15" s="88"/>
      <c r="I15" s="80"/>
      <c r="J15" s="339" t="s">
        <v>390</v>
      </c>
    </row>
    <row r="16" spans="1:10" ht="15" customHeight="1" x14ac:dyDescent="0.3">
      <c r="A16" s="373" t="s">
        <v>79</v>
      </c>
      <c r="B16" s="373"/>
      <c r="C16" s="373"/>
      <c r="D16" s="373"/>
      <c r="E16" s="59">
        <v>2150</v>
      </c>
      <c r="F16" s="50" t="s">
        <v>70</v>
      </c>
      <c r="G16" s="48">
        <f>база!C5</f>
        <v>890</v>
      </c>
      <c r="H16" s="86">
        <f t="shared" ref="H16:H27" si="2">G16*(1-$H$3)</f>
        <v>542.9</v>
      </c>
      <c r="I16" s="48">
        <v>800</v>
      </c>
      <c r="J16" s="339">
        <f t="shared" si="1"/>
        <v>0.11250000000000004</v>
      </c>
    </row>
    <row r="17" spans="1:10" ht="15" customHeight="1" x14ac:dyDescent="0.3">
      <c r="A17" s="373"/>
      <c r="B17" s="373"/>
      <c r="C17" s="373"/>
      <c r="D17" s="373"/>
      <c r="E17" s="59">
        <v>2400</v>
      </c>
      <c r="F17" s="47">
        <v>0.1</v>
      </c>
      <c r="G17" s="46">
        <f>CEILING(G16*(1+F17), 10)</f>
        <v>980</v>
      </c>
      <c r="H17" s="87">
        <f t="shared" si="2"/>
        <v>597.79999999999995</v>
      </c>
      <c r="I17" s="46">
        <v>880</v>
      </c>
      <c r="J17" s="339">
        <f t="shared" si="1"/>
        <v>0.11363636363636354</v>
      </c>
    </row>
    <row r="18" spans="1:10" ht="15" customHeight="1" thickBot="1" x14ac:dyDescent="0.35">
      <c r="A18" s="390"/>
      <c r="B18" s="390"/>
      <c r="C18" s="390"/>
      <c r="D18" s="390"/>
      <c r="E18" s="68">
        <v>2700</v>
      </c>
      <c r="F18" s="69">
        <v>0.3</v>
      </c>
      <c r="G18" s="70">
        <f>CEILING(G16*(1+F18), 10)</f>
        <v>1160</v>
      </c>
      <c r="H18" s="100">
        <f t="shared" si="2"/>
        <v>707.6</v>
      </c>
      <c r="I18" s="70">
        <v>1040</v>
      </c>
      <c r="J18" s="339">
        <f t="shared" si="1"/>
        <v>0.11538461538461542</v>
      </c>
    </row>
    <row r="19" spans="1:10" ht="15" customHeight="1" thickTop="1" x14ac:dyDescent="0.3">
      <c r="A19" s="391" t="s">
        <v>80</v>
      </c>
      <c r="B19" s="391"/>
      <c r="C19" s="391"/>
      <c r="D19" s="391"/>
      <c r="E19" s="101">
        <v>2150</v>
      </c>
      <c r="F19" s="102" t="s">
        <v>70</v>
      </c>
      <c r="G19" s="103">
        <f>G16+50</f>
        <v>940</v>
      </c>
      <c r="H19" s="104">
        <f t="shared" si="2"/>
        <v>573.4</v>
      </c>
      <c r="I19" s="103">
        <v>850</v>
      </c>
      <c r="J19" s="339">
        <f t="shared" si="1"/>
        <v>0.10588235294117654</v>
      </c>
    </row>
    <row r="20" spans="1:10" ht="15" customHeight="1" x14ac:dyDescent="0.3">
      <c r="A20" s="373"/>
      <c r="B20" s="373"/>
      <c r="C20" s="373"/>
      <c r="D20" s="373"/>
      <c r="E20" s="59">
        <v>2400</v>
      </c>
      <c r="F20" s="47">
        <v>0.1</v>
      </c>
      <c r="G20" s="46">
        <f>CEILING(G19*(1+F20), 10)</f>
        <v>1040</v>
      </c>
      <c r="H20" s="87">
        <f t="shared" si="2"/>
        <v>634.4</v>
      </c>
      <c r="I20" s="46">
        <v>940</v>
      </c>
      <c r="J20" s="339">
        <f t="shared" si="1"/>
        <v>0.1063829787234043</v>
      </c>
    </row>
    <row r="21" spans="1:10" ht="15" customHeight="1" thickBot="1" x14ac:dyDescent="0.35">
      <c r="A21" s="390"/>
      <c r="B21" s="390"/>
      <c r="C21" s="390"/>
      <c r="D21" s="390"/>
      <c r="E21" s="68">
        <v>2700</v>
      </c>
      <c r="F21" s="69">
        <v>0.3</v>
      </c>
      <c r="G21" s="70">
        <f>CEILING(G19*(1+F21), 10)</f>
        <v>1230</v>
      </c>
      <c r="H21" s="100">
        <f t="shared" si="2"/>
        <v>750.3</v>
      </c>
      <c r="I21" s="70">
        <v>1110</v>
      </c>
      <c r="J21" s="339">
        <f t="shared" si="1"/>
        <v>0.10810810810810811</v>
      </c>
    </row>
    <row r="22" spans="1:10" ht="15" customHeight="1" thickTop="1" x14ac:dyDescent="0.3">
      <c r="A22" s="391" t="s">
        <v>81</v>
      </c>
      <c r="B22" s="391"/>
      <c r="C22" s="391"/>
      <c r="D22" s="391"/>
      <c r="E22" s="101">
        <v>2150</v>
      </c>
      <c r="F22" s="102" t="s">
        <v>70</v>
      </c>
      <c r="G22" s="103">
        <f>G19+50</f>
        <v>990</v>
      </c>
      <c r="H22" s="104">
        <f t="shared" si="2"/>
        <v>603.9</v>
      </c>
      <c r="I22" s="103">
        <v>900</v>
      </c>
      <c r="J22" s="339">
        <f t="shared" si="1"/>
        <v>0.10000000000000009</v>
      </c>
    </row>
    <row r="23" spans="1:10" ht="15" customHeight="1" x14ac:dyDescent="0.3">
      <c r="A23" s="373"/>
      <c r="B23" s="373"/>
      <c r="C23" s="373"/>
      <c r="D23" s="373"/>
      <c r="E23" s="59">
        <v>2400</v>
      </c>
      <c r="F23" s="47">
        <v>0.1</v>
      </c>
      <c r="G23" s="46">
        <f>CEILING(G22*(1+F23), 10)</f>
        <v>1090</v>
      </c>
      <c r="H23" s="87">
        <f t="shared" si="2"/>
        <v>664.9</v>
      </c>
      <c r="I23" s="46">
        <v>990</v>
      </c>
      <c r="J23" s="339">
        <f t="shared" si="1"/>
        <v>0.10101010101010099</v>
      </c>
    </row>
    <row r="24" spans="1:10" ht="15" customHeight="1" thickBot="1" x14ac:dyDescent="0.35">
      <c r="A24" s="390"/>
      <c r="B24" s="390"/>
      <c r="C24" s="390"/>
      <c r="D24" s="390"/>
      <c r="E24" s="68">
        <v>2700</v>
      </c>
      <c r="F24" s="69">
        <v>0.3</v>
      </c>
      <c r="G24" s="70">
        <f>CEILING(G22*(1+F24), 10)</f>
        <v>1290</v>
      </c>
      <c r="H24" s="100">
        <f t="shared" si="2"/>
        <v>786.9</v>
      </c>
      <c r="I24" s="70">
        <v>1170</v>
      </c>
      <c r="J24" s="339">
        <f t="shared" si="1"/>
        <v>0.10256410256410264</v>
      </c>
    </row>
    <row r="25" spans="1:10" ht="15" customHeight="1" thickTop="1" x14ac:dyDescent="0.3">
      <c r="A25" s="378" t="s">
        <v>82</v>
      </c>
      <c r="B25" s="378"/>
      <c r="C25" s="378"/>
      <c r="D25" s="378"/>
      <c r="E25" s="60">
        <v>2150</v>
      </c>
      <c r="F25" s="61" t="s">
        <v>70</v>
      </c>
      <c r="G25" s="62">
        <f>G22+50</f>
        <v>1040</v>
      </c>
      <c r="H25" s="99">
        <f t="shared" si="2"/>
        <v>634.4</v>
      </c>
      <c r="I25" s="62">
        <v>950</v>
      </c>
      <c r="J25" s="339">
        <f t="shared" si="1"/>
        <v>9.473684210526323E-2</v>
      </c>
    </row>
    <row r="26" spans="1:10" ht="15" customHeight="1" x14ac:dyDescent="0.3">
      <c r="A26" s="373"/>
      <c r="B26" s="373"/>
      <c r="C26" s="373"/>
      <c r="D26" s="373"/>
      <c r="E26" s="59">
        <v>2400</v>
      </c>
      <c r="F26" s="47">
        <v>0.1</v>
      </c>
      <c r="G26" s="46">
        <f>CEILING(G25*(1+F26), 10)</f>
        <v>1150</v>
      </c>
      <c r="H26" s="87">
        <f t="shared" si="2"/>
        <v>701.5</v>
      </c>
      <c r="I26" s="46">
        <v>1050</v>
      </c>
      <c r="J26" s="339">
        <f t="shared" si="1"/>
        <v>9.5238095238095344E-2</v>
      </c>
    </row>
    <row r="27" spans="1:10" ht="15" customHeight="1" x14ac:dyDescent="0.3">
      <c r="A27" s="373"/>
      <c r="B27" s="373"/>
      <c r="C27" s="373"/>
      <c r="D27" s="373"/>
      <c r="E27" s="59">
        <v>2700</v>
      </c>
      <c r="F27" s="47">
        <v>0.3</v>
      </c>
      <c r="G27" s="46">
        <f>CEILING(G25*(1+F27), 10)</f>
        <v>1360</v>
      </c>
      <c r="H27" s="87">
        <f t="shared" si="2"/>
        <v>829.6</v>
      </c>
      <c r="I27" s="46">
        <v>1240</v>
      </c>
      <c r="J27" s="339">
        <f t="shared" si="1"/>
        <v>9.6774193548387011E-2</v>
      </c>
    </row>
    <row r="28" spans="1:10" ht="15" customHeight="1" x14ac:dyDescent="0.3">
      <c r="A28" s="93" t="s">
        <v>92</v>
      </c>
      <c r="B28" s="77"/>
      <c r="C28" s="77"/>
      <c r="D28" s="77"/>
      <c r="E28" s="77"/>
      <c r="F28" s="77"/>
      <c r="G28" s="78"/>
      <c r="H28" s="85"/>
      <c r="I28" s="78"/>
      <c r="J28" s="339" t="s">
        <v>390</v>
      </c>
    </row>
    <row r="29" spans="1:10" ht="15" customHeight="1" x14ac:dyDescent="0.3">
      <c r="A29" s="373" t="s">
        <v>111</v>
      </c>
      <c r="B29" s="373"/>
      <c r="C29" s="373"/>
      <c r="D29" s="373"/>
      <c r="E29" s="59">
        <v>2120</v>
      </c>
      <c r="F29" s="50" t="s">
        <v>70</v>
      </c>
      <c r="G29" s="48">
        <f>база!C6</f>
        <v>940</v>
      </c>
      <c r="H29" s="86">
        <f t="shared" ref="H29:H40" si="3">G29*(1-$H$3)</f>
        <v>573.4</v>
      </c>
      <c r="I29" s="48">
        <v>850</v>
      </c>
      <c r="J29" s="339">
        <f t="shared" si="1"/>
        <v>0.10588235294117654</v>
      </c>
    </row>
    <row r="30" spans="1:10" ht="15" customHeight="1" x14ac:dyDescent="0.3">
      <c r="A30" s="373"/>
      <c r="B30" s="373"/>
      <c r="C30" s="373"/>
      <c r="D30" s="373"/>
      <c r="E30" s="59">
        <v>2400</v>
      </c>
      <c r="F30" s="47">
        <v>0.1</v>
      </c>
      <c r="G30" s="46">
        <f>CEILING(G29*(1+F30), 10)</f>
        <v>1040</v>
      </c>
      <c r="H30" s="87">
        <f t="shared" si="3"/>
        <v>634.4</v>
      </c>
      <c r="I30" s="46">
        <v>940</v>
      </c>
      <c r="J30" s="339">
        <f t="shared" si="1"/>
        <v>0.1063829787234043</v>
      </c>
    </row>
    <row r="31" spans="1:10" ht="15" customHeight="1" thickBot="1" x14ac:dyDescent="0.35">
      <c r="A31" s="390"/>
      <c r="B31" s="390"/>
      <c r="C31" s="390"/>
      <c r="D31" s="390"/>
      <c r="E31" s="68">
        <v>2700</v>
      </c>
      <c r="F31" s="69">
        <v>0.3</v>
      </c>
      <c r="G31" s="70">
        <f>CEILING(G29*(1+F31), 10)</f>
        <v>1230</v>
      </c>
      <c r="H31" s="100">
        <f t="shared" si="3"/>
        <v>750.3</v>
      </c>
      <c r="I31" s="70">
        <v>1110</v>
      </c>
      <c r="J31" s="339">
        <f t="shared" si="1"/>
        <v>0.10810810810810811</v>
      </c>
    </row>
    <row r="32" spans="1:10" ht="15" customHeight="1" thickTop="1" x14ac:dyDescent="0.3">
      <c r="A32" s="391" t="s">
        <v>112</v>
      </c>
      <c r="B32" s="391"/>
      <c r="C32" s="391"/>
      <c r="D32" s="391"/>
      <c r="E32" s="101">
        <v>2120</v>
      </c>
      <c r="F32" s="102" t="s">
        <v>70</v>
      </c>
      <c r="G32" s="103">
        <f>CEILING(G29*1.5, 10)</f>
        <v>1410</v>
      </c>
      <c r="H32" s="104">
        <f t="shared" si="3"/>
        <v>860.1</v>
      </c>
      <c r="I32" s="103">
        <v>1280</v>
      </c>
      <c r="J32" s="339">
        <f t="shared" si="1"/>
        <v>0.1015625</v>
      </c>
    </row>
    <row r="33" spans="1:10" ht="15" customHeight="1" x14ac:dyDescent="0.3">
      <c r="A33" s="373"/>
      <c r="B33" s="373"/>
      <c r="C33" s="373"/>
      <c r="D33" s="373"/>
      <c r="E33" s="59">
        <v>2400</v>
      </c>
      <c r="F33" s="47">
        <v>0.1</v>
      </c>
      <c r="G33" s="46">
        <f>CEILING(G32*(1+F33), 10)</f>
        <v>1560</v>
      </c>
      <c r="H33" s="87">
        <f t="shared" si="3"/>
        <v>951.6</v>
      </c>
      <c r="I33" s="46">
        <v>1410</v>
      </c>
      <c r="J33" s="339">
        <f t="shared" si="1"/>
        <v>0.1063829787234043</v>
      </c>
    </row>
    <row r="34" spans="1:10" ht="15" customHeight="1" thickBot="1" x14ac:dyDescent="0.35">
      <c r="A34" s="390"/>
      <c r="B34" s="390"/>
      <c r="C34" s="390"/>
      <c r="D34" s="390"/>
      <c r="E34" s="68">
        <v>2700</v>
      </c>
      <c r="F34" s="69">
        <v>0.3</v>
      </c>
      <c r="G34" s="70">
        <f>CEILING(G32*(1+F34), 10)</f>
        <v>1840</v>
      </c>
      <c r="H34" s="100">
        <f t="shared" si="3"/>
        <v>1122.3999999999999</v>
      </c>
      <c r="I34" s="70">
        <v>1670</v>
      </c>
      <c r="J34" s="339">
        <f t="shared" si="1"/>
        <v>0.10179640718562877</v>
      </c>
    </row>
    <row r="35" spans="1:10" ht="15" customHeight="1" thickTop="1" x14ac:dyDescent="0.3">
      <c r="A35" s="398" t="s">
        <v>124</v>
      </c>
      <c r="B35" s="398"/>
      <c r="C35" s="400" t="s">
        <v>122</v>
      </c>
      <c r="D35" s="400"/>
      <c r="E35" s="101">
        <v>2120</v>
      </c>
      <c r="F35" s="102" t="s">
        <v>70</v>
      </c>
      <c r="G35" s="103">
        <f>G29</f>
        <v>940</v>
      </c>
      <c r="H35" s="104">
        <f t="shared" si="3"/>
        <v>573.4</v>
      </c>
      <c r="I35" s="103">
        <v>850</v>
      </c>
      <c r="J35" s="339">
        <f t="shared" si="1"/>
        <v>0.10588235294117654</v>
      </c>
    </row>
    <row r="36" spans="1:10" ht="15" customHeight="1" x14ac:dyDescent="0.3">
      <c r="A36" s="396"/>
      <c r="B36" s="396"/>
      <c r="C36" s="371" t="s">
        <v>123</v>
      </c>
      <c r="D36" s="371"/>
      <c r="E36" s="59">
        <v>2400</v>
      </c>
      <c r="F36" s="47">
        <v>0.1</v>
      </c>
      <c r="G36" s="46">
        <f>CEILING(G35*(1+F36), 10)</f>
        <v>1040</v>
      </c>
      <c r="H36" s="87">
        <f t="shared" si="3"/>
        <v>634.4</v>
      </c>
      <c r="I36" s="46">
        <v>940</v>
      </c>
      <c r="J36" s="339">
        <f t="shared" si="1"/>
        <v>0.1063829787234043</v>
      </c>
    </row>
    <row r="37" spans="1:10" ht="15" customHeight="1" thickBot="1" x14ac:dyDescent="0.35">
      <c r="A37" s="399"/>
      <c r="B37" s="399"/>
      <c r="C37" s="401"/>
      <c r="D37" s="401"/>
      <c r="E37" s="68">
        <v>2700</v>
      </c>
      <c r="F37" s="69">
        <v>0.3</v>
      </c>
      <c r="G37" s="70">
        <f>CEILING(G35*(1+F37), 10)</f>
        <v>1230</v>
      </c>
      <c r="H37" s="100">
        <f t="shared" si="3"/>
        <v>750.3</v>
      </c>
      <c r="I37" s="70">
        <v>1110</v>
      </c>
      <c r="J37" s="339">
        <f t="shared" si="1"/>
        <v>0.10810810810810811</v>
      </c>
    </row>
    <row r="38" spans="1:10" ht="15" customHeight="1" thickTop="1" x14ac:dyDescent="0.3">
      <c r="A38" s="378" t="s">
        <v>118</v>
      </c>
      <c r="B38" s="378"/>
      <c r="C38" s="378"/>
      <c r="D38" s="378"/>
      <c r="E38" s="60">
        <v>2120</v>
      </c>
      <c r="F38" s="61" t="s">
        <v>70</v>
      </c>
      <c r="G38" s="62">
        <f>CEILING(G35/5.5, 5)</f>
        <v>175</v>
      </c>
      <c r="H38" s="99">
        <f t="shared" si="3"/>
        <v>106.75</v>
      </c>
      <c r="I38" s="62">
        <v>150</v>
      </c>
      <c r="J38" s="339">
        <f t="shared" si="1"/>
        <v>0.16666666666666674</v>
      </c>
    </row>
    <row r="39" spans="1:10" ht="15" customHeight="1" x14ac:dyDescent="0.3">
      <c r="A39" s="373"/>
      <c r="B39" s="373"/>
      <c r="C39" s="373"/>
      <c r="D39" s="373"/>
      <c r="E39" s="59">
        <v>2400</v>
      </c>
      <c r="F39" s="47">
        <v>0.1</v>
      </c>
      <c r="G39" s="46">
        <f>CEILING(G38*(1+F39), 10)</f>
        <v>200</v>
      </c>
      <c r="H39" s="87">
        <f t="shared" si="3"/>
        <v>122</v>
      </c>
      <c r="I39" s="46">
        <v>170</v>
      </c>
      <c r="J39" s="339">
        <f t="shared" si="1"/>
        <v>0.17647058823529416</v>
      </c>
    </row>
    <row r="40" spans="1:10" ht="15" customHeight="1" x14ac:dyDescent="0.3">
      <c r="A40" s="373"/>
      <c r="B40" s="373"/>
      <c r="C40" s="373"/>
      <c r="D40" s="373"/>
      <c r="E40" s="59">
        <v>2700</v>
      </c>
      <c r="F40" s="47">
        <v>0.3</v>
      </c>
      <c r="G40" s="46">
        <f>CEILING(G38*(1+F40), 10)</f>
        <v>230</v>
      </c>
      <c r="H40" s="87">
        <f t="shared" si="3"/>
        <v>140.29999999999998</v>
      </c>
      <c r="I40" s="46">
        <v>200</v>
      </c>
      <c r="J40" s="339">
        <f t="shared" si="1"/>
        <v>0.14999999999999991</v>
      </c>
    </row>
    <row r="41" spans="1:10" ht="5.25" customHeight="1" x14ac:dyDescent="0.3">
      <c r="A41" s="95"/>
      <c r="B41" s="71"/>
      <c r="C41" s="71"/>
      <c r="D41" s="71"/>
      <c r="E41" s="72"/>
      <c r="F41" s="72"/>
      <c r="G41" s="73"/>
      <c r="H41" s="89"/>
      <c r="J41" s="339" t="s">
        <v>390</v>
      </c>
    </row>
    <row r="42" spans="1:10" s="97" customFormat="1" ht="36" customHeight="1" x14ac:dyDescent="0.3">
      <c r="A42" s="388" t="s">
        <v>117</v>
      </c>
      <c r="B42" s="388"/>
      <c r="C42" s="388"/>
      <c r="D42" s="388"/>
      <c r="E42" s="388"/>
      <c r="F42" s="388"/>
      <c r="G42" s="388"/>
      <c r="H42" s="388"/>
      <c r="J42" s="339" t="s">
        <v>390</v>
      </c>
    </row>
    <row r="43" spans="1:10" ht="5.25" customHeight="1" x14ac:dyDescent="0.3">
      <c r="A43" s="95"/>
      <c r="B43" s="71"/>
      <c r="C43" s="71"/>
      <c r="D43" s="71"/>
      <c r="E43" s="72"/>
      <c r="F43" s="72"/>
      <c r="G43" s="73"/>
      <c r="H43" s="89"/>
      <c r="J43" s="339" t="s">
        <v>390</v>
      </c>
    </row>
    <row r="44" spans="1:10" ht="15" customHeight="1" x14ac:dyDescent="0.3">
      <c r="A44" s="93" t="s">
        <v>95</v>
      </c>
      <c r="B44" s="77"/>
      <c r="C44" s="77"/>
      <c r="D44" s="77"/>
      <c r="E44" s="77"/>
      <c r="F44" s="77"/>
      <c r="G44" s="78"/>
      <c r="H44" s="85"/>
      <c r="J44" s="339" t="s">
        <v>390</v>
      </c>
    </row>
    <row r="45" spans="1:10" ht="15" customHeight="1" x14ac:dyDescent="0.3">
      <c r="A45" s="379" t="s">
        <v>359</v>
      </c>
      <c r="B45" s="380"/>
      <c r="C45" s="380"/>
      <c r="D45" s="381"/>
      <c r="E45" s="59">
        <v>2400</v>
      </c>
      <c r="F45" s="59"/>
      <c r="G45" s="48">
        <f>CEILING(G12*1.05, 10)</f>
        <v>3410</v>
      </c>
      <c r="H45" s="86">
        <f>G45*(1-$H$3)</f>
        <v>2080.1</v>
      </c>
      <c r="I45" s="58">
        <v>3150</v>
      </c>
      <c r="J45" s="339">
        <f t="shared" si="1"/>
        <v>8.2539682539682468E-2</v>
      </c>
    </row>
    <row r="46" spans="1:10" ht="15" customHeight="1" x14ac:dyDescent="0.3">
      <c r="A46" s="385"/>
      <c r="B46" s="386"/>
      <c r="C46" s="386"/>
      <c r="D46" s="387"/>
      <c r="E46" s="59">
        <v>2700</v>
      </c>
      <c r="F46" s="47">
        <v>0.2</v>
      </c>
      <c r="G46" s="46">
        <f>CEILING(G45*(1+F46), 10)</f>
        <v>4100</v>
      </c>
      <c r="H46" s="87">
        <f>G46*(1-$H$3)</f>
        <v>2501</v>
      </c>
      <c r="I46" s="58">
        <v>3780</v>
      </c>
      <c r="J46" s="339">
        <f t="shared" si="1"/>
        <v>8.4656084656084651E-2</v>
      </c>
    </row>
    <row r="47" spans="1:10" ht="15" customHeight="1" x14ac:dyDescent="0.3">
      <c r="A47" s="379" t="s">
        <v>104</v>
      </c>
      <c r="B47" s="380"/>
      <c r="C47" s="380"/>
      <c r="D47" s="381"/>
      <c r="E47" s="59">
        <v>2400</v>
      </c>
      <c r="F47" s="47"/>
      <c r="G47" s="48">
        <f>CEILING(G45/2.4, 10)</f>
        <v>1430</v>
      </c>
      <c r="H47" s="86">
        <f>G47*(1-$H$3)</f>
        <v>872.3</v>
      </c>
      <c r="I47" s="58">
        <v>1300</v>
      </c>
      <c r="J47" s="339">
        <f t="shared" si="1"/>
        <v>0.10000000000000009</v>
      </c>
    </row>
    <row r="48" spans="1:10" ht="15" customHeight="1" x14ac:dyDescent="0.3">
      <c r="A48" s="385"/>
      <c r="B48" s="386"/>
      <c r="C48" s="386"/>
      <c r="D48" s="387"/>
      <c r="E48" s="59">
        <v>2700</v>
      </c>
      <c r="F48" s="47">
        <v>0.2</v>
      </c>
      <c r="G48" s="46">
        <f>CEILING(G47*(1+F48), 10)</f>
        <v>1720</v>
      </c>
      <c r="H48" s="87">
        <f>G48*(1-$H$3)</f>
        <v>1049.2</v>
      </c>
      <c r="I48" s="58">
        <v>1560</v>
      </c>
      <c r="J48" s="339">
        <f t="shared" si="1"/>
        <v>0.10256410256410264</v>
      </c>
    </row>
    <row r="49" spans="1:10" ht="15" customHeight="1" x14ac:dyDescent="0.3">
      <c r="A49" s="392" t="s">
        <v>125</v>
      </c>
      <c r="B49" s="393"/>
      <c r="C49" s="393"/>
      <c r="D49" s="394"/>
      <c r="E49" s="59">
        <v>2150</v>
      </c>
      <c r="F49" s="59"/>
      <c r="G49" s="48">
        <f>CEILING(G47/2.4, 10)</f>
        <v>600</v>
      </c>
      <c r="H49" s="86">
        <f>G49*(1-$H$3)</f>
        <v>366</v>
      </c>
      <c r="I49" s="58">
        <v>550</v>
      </c>
      <c r="J49" s="339">
        <f t="shared" si="1"/>
        <v>9.0909090909090828E-2</v>
      </c>
    </row>
    <row r="50" spans="1:10" ht="15" customHeight="1" x14ac:dyDescent="0.3">
      <c r="A50" s="92" t="s">
        <v>90</v>
      </c>
      <c r="B50" s="75"/>
      <c r="C50" s="75"/>
      <c r="D50" s="75"/>
      <c r="E50" s="75"/>
      <c r="F50" s="75"/>
      <c r="G50" s="76"/>
      <c r="H50" s="84"/>
      <c r="J50" s="339" t="s">
        <v>390</v>
      </c>
    </row>
    <row r="51" spans="1:10" ht="15" customHeight="1" x14ac:dyDescent="0.3">
      <c r="A51" s="93" t="s">
        <v>99</v>
      </c>
      <c r="B51" s="77"/>
      <c r="C51" s="77"/>
      <c r="D51" s="77"/>
      <c r="E51" s="77"/>
      <c r="F51" s="77"/>
      <c r="G51" s="78"/>
      <c r="H51" s="85"/>
      <c r="J51" s="339" t="s">
        <v>390</v>
      </c>
    </row>
    <row r="52" spans="1:10" ht="15" customHeight="1" x14ac:dyDescent="0.3">
      <c r="A52" s="373" t="s">
        <v>105</v>
      </c>
      <c r="B52" s="373"/>
      <c r="C52" s="373"/>
      <c r="D52" s="373"/>
      <c r="E52" s="59">
        <v>2120</v>
      </c>
      <c r="F52" s="50" t="s">
        <v>70</v>
      </c>
      <c r="G52" s="48">
        <f>G9</f>
        <v>1200</v>
      </c>
      <c r="H52" s="86">
        <f>G52*(1-$H$3)</f>
        <v>732</v>
      </c>
      <c r="I52" s="58">
        <v>1100</v>
      </c>
      <c r="J52" s="339">
        <f t="shared" si="1"/>
        <v>9.0909090909090828E-2</v>
      </c>
    </row>
    <row r="53" spans="1:10" ht="15" customHeight="1" x14ac:dyDescent="0.3">
      <c r="A53" s="373"/>
      <c r="B53" s="373"/>
      <c r="C53" s="373"/>
      <c r="D53" s="373"/>
      <c r="E53" s="59">
        <v>2400</v>
      </c>
      <c r="F53" s="47">
        <v>0.1</v>
      </c>
      <c r="G53" s="46">
        <f>CEILING(G52*(1+F53), 10)</f>
        <v>1320</v>
      </c>
      <c r="H53" s="87">
        <f>G53*(1-$H$3)</f>
        <v>805.19999999999993</v>
      </c>
      <c r="I53" s="58">
        <v>1210</v>
      </c>
      <c r="J53" s="339">
        <f t="shared" si="1"/>
        <v>9.0909090909090828E-2</v>
      </c>
    </row>
    <row r="54" spans="1:10" ht="15" customHeight="1" x14ac:dyDescent="0.3">
      <c r="A54" s="373"/>
      <c r="B54" s="373"/>
      <c r="C54" s="373"/>
      <c r="D54" s="373"/>
      <c r="E54" s="59">
        <v>2700</v>
      </c>
      <c r="F54" s="47">
        <v>0.3</v>
      </c>
      <c r="G54" s="46">
        <f>CEILING(G52*(1+F54), 10)</f>
        <v>1560</v>
      </c>
      <c r="H54" s="87">
        <f>G54*(1-$H$3)</f>
        <v>951.6</v>
      </c>
      <c r="I54" s="58">
        <v>1430</v>
      </c>
      <c r="J54" s="339">
        <f t="shared" si="1"/>
        <v>9.0909090909090828E-2</v>
      </c>
    </row>
    <row r="55" spans="1:10" ht="15" customHeight="1" x14ac:dyDescent="0.3">
      <c r="A55" s="94" t="s">
        <v>100</v>
      </c>
      <c r="B55" s="79"/>
      <c r="C55" s="79"/>
      <c r="D55" s="79"/>
      <c r="E55" s="79"/>
      <c r="F55" s="79"/>
      <c r="G55" s="80"/>
      <c r="H55" s="88"/>
      <c r="J55" s="339" t="s">
        <v>390</v>
      </c>
    </row>
    <row r="56" spans="1:10" ht="15" customHeight="1" x14ac:dyDescent="0.3">
      <c r="A56" s="378" t="s">
        <v>91</v>
      </c>
      <c r="B56" s="378"/>
      <c r="C56" s="378"/>
      <c r="D56" s="378"/>
      <c r="E56" s="60">
        <v>2150</v>
      </c>
      <c r="F56" s="61" t="s">
        <v>70</v>
      </c>
      <c r="G56" s="62">
        <f>G22</f>
        <v>990</v>
      </c>
      <c r="H56" s="99">
        <f>G56*(1-$H$3)</f>
        <v>603.9</v>
      </c>
      <c r="I56" s="58">
        <v>900</v>
      </c>
      <c r="J56" s="339">
        <f t="shared" si="1"/>
        <v>0.10000000000000009</v>
      </c>
    </row>
    <row r="57" spans="1:10" ht="15" customHeight="1" x14ac:dyDescent="0.3">
      <c r="A57" s="373"/>
      <c r="B57" s="373"/>
      <c r="C57" s="373"/>
      <c r="D57" s="373"/>
      <c r="E57" s="59">
        <v>2400</v>
      </c>
      <c r="F57" s="47">
        <v>0.1</v>
      </c>
      <c r="G57" s="46">
        <f>CEILING(G56*(1+F57), 10)</f>
        <v>1090</v>
      </c>
      <c r="H57" s="87">
        <f>G57*(1-$H$3)</f>
        <v>664.9</v>
      </c>
      <c r="I57" s="58">
        <v>990</v>
      </c>
      <c r="J57" s="339">
        <f t="shared" si="1"/>
        <v>0.10101010101010099</v>
      </c>
    </row>
    <row r="58" spans="1:10" ht="15" customHeight="1" x14ac:dyDescent="0.3">
      <c r="A58" s="373"/>
      <c r="B58" s="373"/>
      <c r="C58" s="373"/>
      <c r="D58" s="373"/>
      <c r="E58" s="59">
        <v>2700</v>
      </c>
      <c r="F58" s="47">
        <v>0.3</v>
      </c>
      <c r="G58" s="46">
        <f>CEILING(G56*(1+F58), 10)</f>
        <v>1290</v>
      </c>
      <c r="H58" s="87">
        <f>G58*(1-$H$3)</f>
        <v>786.9</v>
      </c>
      <c r="I58" s="58">
        <v>1170</v>
      </c>
      <c r="J58" s="339">
        <f t="shared" si="1"/>
        <v>0.10256410256410264</v>
      </c>
    </row>
    <row r="59" spans="1:10" ht="15" customHeight="1" x14ac:dyDescent="0.3">
      <c r="A59" s="94" t="s">
        <v>92</v>
      </c>
      <c r="B59" s="79"/>
      <c r="C59" s="79"/>
      <c r="D59" s="79"/>
      <c r="E59" s="79"/>
      <c r="F59" s="79"/>
      <c r="G59" s="80"/>
      <c r="H59" s="88"/>
      <c r="J59" s="339" t="s">
        <v>390</v>
      </c>
    </row>
    <row r="60" spans="1:10" ht="15" customHeight="1" x14ac:dyDescent="0.3">
      <c r="A60" s="373" t="s">
        <v>113</v>
      </c>
      <c r="B60" s="373"/>
      <c r="C60" s="373"/>
      <c r="D60" s="373"/>
      <c r="E60" s="59">
        <v>2120</v>
      </c>
      <c r="F60" s="50" t="s">
        <v>70</v>
      </c>
      <c r="G60" s="48">
        <f>CEILING(G29*1.4, 10)</f>
        <v>1320</v>
      </c>
      <c r="H60" s="86">
        <f t="shared" ref="H60:H71" si="4">G60*(1-$H$3)</f>
        <v>805.19999999999993</v>
      </c>
      <c r="I60" s="58">
        <v>1200</v>
      </c>
      <c r="J60" s="339">
        <f t="shared" si="1"/>
        <v>0.10000000000000009</v>
      </c>
    </row>
    <row r="61" spans="1:10" ht="15" customHeight="1" x14ac:dyDescent="0.3">
      <c r="A61" s="373"/>
      <c r="B61" s="373"/>
      <c r="C61" s="373"/>
      <c r="D61" s="373"/>
      <c r="E61" s="59">
        <v>2400</v>
      </c>
      <c r="F61" s="47">
        <v>0.1</v>
      </c>
      <c r="G61" s="46">
        <f>CEILING(G60*(1+F61), 10)</f>
        <v>1460</v>
      </c>
      <c r="H61" s="87">
        <f t="shared" si="4"/>
        <v>890.6</v>
      </c>
      <c r="I61" s="58">
        <v>1320</v>
      </c>
      <c r="J61" s="339">
        <f t="shared" si="1"/>
        <v>0.10606060606060597</v>
      </c>
    </row>
    <row r="62" spans="1:10" ht="15" customHeight="1" thickBot="1" x14ac:dyDescent="0.35">
      <c r="A62" s="390"/>
      <c r="B62" s="390"/>
      <c r="C62" s="390"/>
      <c r="D62" s="390"/>
      <c r="E62" s="68">
        <v>2700</v>
      </c>
      <c r="F62" s="69">
        <v>0.3</v>
      </c>
      <c r="G62" s="70">
        <f>CEILING(G60*(1+F62), 10)</f>
        <v>1720</v>
      </c>
      <c r="H62" s="100">
        <f t="shared" si="4"/>
        <v>1049.2</v>
      </c>
      <c r="I62" s="58">
        <v>1560</v>
      </c>
      <c r="J62" s="339">
        <f t="shared" si="1"/>
        <v>0.10256410256410264</v>
      </c>
    </row>
    <row r="63" spans="1:10" ht="15" customHeight="1" thickTop="1" x14ac:dyDescent="0.3">
      <c r="A63" s="391" t="s">
        <v>114</v>
      </c>
      <c r="B63" s="391"/>
      <c r="C63" s="391"/>
      <c r="D63" s="391"/>
      <c r="E63" s="101">
        <v>2120</v>
      </c>
      <c r="F63" s="102" t="s">
        <v>70</v>
      </c>
      <c r="G63" s="103">
        <f>G60*1.5</f>
        <v>1980</v>
      </c>
      <c r="H63" s="104">
        <f t="shared" si="4"/>
        <v>1207.8</v>
      </c>
      <c r="I63" s="58">
        <v>1800</v>
      </c>
      <c r="J63" s="339">
        <f t="shared" si="1"/>
        <v>0.10000000000000009</v>
      </c>
    </row>
    <row r="64" spans="1:10" ht="15" customHeight="1" x14ac:dyDescent="0.3">
      <c r="A64" s="373"/>
      <c r="B64" s="373"/>
      <c r="C64" s="373"/>
      <c r="D64" s="373"/>
      <c r="E64" s="59">
        <v>2400</v>
      </c>
      <c r="F64" s="47">
        <v>0.1</v>
      </c>
      <c r="G64" s="46">
        <f>CEILING(G63*(1+F64), 10)</f>
        <v>2180</v>
      </c>
      <c r="H64" s="87">
        <f t="shared" si="4"/>
        <v>1329.8</v>
      </c>
      <c r="I64" s="58">
        <v>1980</v>
      </c>
      <c r="J64" s="339">
        <f t="shared" si="1"/>
        <v>0.10101010101010099</v>
      </c>
    </row>
    <row r="65" spans="1:10" ht="15" customHeight="1" thickBot="1" x14ac:dyDescent="0.35">
      <c r="A65" s="390"/>
      <c r="B65" s="390"/>
      <c r="C65" s="390"/>
      <c r="D65" s="390"/>
      <c r="E65" s="68">
        <v>2700</v>
      </c>
      <c r="F65" s="69">
        <v>0.3</v>
      </c>
      <c r="G65" s="70">
        <f>CEILING(G63*(1+F65), 10)</f>
        <v>2580</v>
      </c>
      <c r="H65" s="100">
        <f t="shared" si="4"/>
        <v>1573.8</v>
      </c>
      <c r="I65" s="58">
        <v>2340</v>
      </c>
      <c r="J65" s="339">
        <f t="shared" si="1"/>
        <v>0.10256410256410264</v>
      </c>
    </row>
    <row r="66" spans="1:10" ht="15" customHeight="1" thickTop="1" x14ac:dyDescent="0.3">
      <c r="A66" s="391" t="s">
        <v>115</v>
      </c>
      <c r="B66" s="391"/>
      <c r="C66" s="391"/>
      <c r="D66" s="391"/>
      <c r="E66" s="101">
        <v>2120</v>
      </c>
      <c r="F66" s="102" t="s">
        <v>70</v>
      </c>
      <c r="G66" s="103">
        <f>G60/2*5</f>
        <v>3300</v>
      </c>
      <c r="H66" s="104">
        <f t="shared" si="4"/>
        <v>2013</v>
      </c>
      <c r="I66" s="58">
        <v>3000</v>
      </c>
      <c r="J66" s="339">
        <f t="shared" si="1"/>
        <v>0.10000000000000009</v>
      </c>
    </row>
    <row r="67" spans="1:10" ht="15" customHeight="1" x14ac:dyDescent="0.3">
      <c r="A67" s="373"/>
      <c r="B67" s="373"/>
      <c r="C67" s="373"/>
      <c r="D67" s="373"/>
      <c r="E67" s="59">
        <v>2400</v>
      </c>
      <c r="F67" s="47">
        <v>0.1</v>
      </c>
      <c r="G67" s="46">
        <f>CEILING(G66*(1+F67), 10)</f>
        <v>3630</v>
      </c>
      <c r="H67" s="87">
        <f t="shared" si="4"/>
        <v>2214.2999999999997</v>
      </c>
      <c r="I67" s="58">
        <v>3300</v>
      </c>
      <c r="J67" s="339">
        <f t="shared" si="1"/>
        <v>0.10000000000000009</v>
      </c>
    </row>
    <row r="68" spans="1:10" ht="15" customHeight="1" thickBot="1" x14ac:dyDescent="0.35">
      <c r="A68" s="390"/>
      <c r="B68" s="390"/>
      <c r="C68" s="390"/>
      <c r="D68" s="390"/>
      <c r="E68" s="68">
        <v>2700</v>
      </c>
      <c r="F68" s="69">
        <v>0.3</v>
      </c>
      <c r="G68" s="70">
        <f>CEILING(G66*(1+F68), 10)</f>
        <v>4290</v>
      </c>
      <c r="H68" s="100">
        <f t="shared" si="4"/>
        <v>2616.9</v>
      </c>
      <c r="I68" s="58">
        <v>3900</v>
      </c>
      <c r="J68" s="339">
        <f t="shared" si="1"/>
        <v>0.10000000000000009</v>
      </c>
    </row>
    <row r="69" spans="1:10" ht="15" customHeight="1" thickTop="1" x14ac:dyDescent="0.3">
      <c r="A69" s="395" t="s">
        <v>119</v>
      </c>
      <c r="B69" s="395"/>
      <c r="C69" s="389" t="s">
        <v>120</v>
      </c>
      <c r="D69" s="389"/>
      <c r="E69" s="60">
        <v>2120</v>
      </c>
      <c r="F69" s="61" t="s">
        <v>70</v>
      </c>
      <c r="G69" s="62">
        <f>G60/2</f>
        <v>660</v>
      </c>
      <c r="H69" s="99">
        <f t="shared" si="4"/>
        <v>402.59999999999997</v>
      </c>
      <c r="I69" s="58">
        <v>600</v>
      </c>
      <c r="J69" s="339">
        <f t="shared" si="1"/>
        <v>0.10000000000000009</v>
      </c>
    </row>
    <row r="70" spans="1:10" ht="15" customHeight="1" x14ac:dyDescent="0.3">
      <c r="A70" s="396"/>
      <c r="B70" s="396"/>
      <c r="C70" s="371" t="s">
        <v>121</v>
      </c>
      <c r="D70" s="371"/>
      <c r="E70" s="59">
        <v>2400</v>
      </c>
      <c r="F70" s="47">
        <v>0.1</v>
      </c>
      <c r="G70" s="46">
        <f>CEILING(G69*(1+F70), 10)</f>
        <v>730</v>
      </c>
      <c r="H70" s="87">
        <f t="shared" si="4"/>
        <v>445.3</v>
      </c>
      <c r="I70" s="58">
        <v>660</v>
      </c>
      <c r="J70" s="339">
        <f t="shared" si="1"/>
        <v>0.10606060606060597</v>
      </c>
    </row>
    <row r="71" spans="1:10" ht="15" customHeight="1" x14ac:dyDescent="0.3">
      <c r="A71" s="396"/>
      <c r="B71" s="396"/>
      <c r="C71" s="371"/>
      <c r="D71" s="371"/>
      <c r="E71" s="59">
        <v>2700</v>
      </c>
      <c r="F71" s="47">
        <v>0.3</v>
      </c>
      <c r="G71" s="46">
        <f>CEILING(G69*(1+F71), 10)</f>
        <v>860</v>
      </c>
      <c r="H71" s="87">
        <f t="shared" si="4"/>
        <v>524.6</v>
      </c>
      <c r="I71" s="58">
        <v>780</v>
      </c>
      <c r="J71" s="339">
        <f t="shared" si="1"/>
        <v>0.10256410256410264</v>
      </c>
    </row>
    <row r="72" spans="1:10" ht="15" customHeight="1" x14ac:dyDescent="0.3">
      <c r="A72" s="95"/>
      <c r="B72" s="71"/>
      <c r="C72" s="71"/>
      <c r="D72" s="71"/>
      <c r="E72" s="72"/>
      <c r="F72" s="72"/>
      <c r="G72" s="73"/>
      <c r="H72" s="89"/>
      <c r="J72" s="339" t="s">
        <v>390</v>
      </c>
    </row>
    <row r="73" spans="1:10" ht="15" customHeight="1" x14ac:dyDescent="0.3">
      <c r="A73" s="92" t="s">
        <v>93</v>
      </c>
      <c r="B73" s="75"/>
      <c r="C73" s="75"/>
      <c r="D73" s="75"/>
      <c r="E73" s="75"/>
      <c r="F73" s="75"/>
      <c r="G73" s="76"/>
      <c r="H73" s="84"/>
      <c r="J73" s="339" t="s">
        <v>390</v>
      </c>
    </row>
    <row r="74" spans="1:10" ht="15" customHeight="1" x14ac:dyDescent="0.3">
      <c r="A74" s="94" t="s">
        <v>96</v>
      </c>
      <c r="B74" s="79"/>
      <c r="C74" s="79"/>
      <c r="D74" s="79"/>
      <c r="E74" s="79"/>
      <c r="F74" s="79"/>
      <c r="G74" s="80"/>
      <c r="H74" s="88"/>
      <c r="J74" s="339" t="s">
        <v>390</v>
      </c>
    </row>
    <row r="75" spans="1:10" ht="15" customHeight="1" x14ac:dyDescent="0.3">
      <c r="A75" s="373" t="s">
        <v>360</v>
      </c>
      <c r="B75" s="373"/>
      <c r="C75" s="373"/>
      <c r="D75" s="373"/>
      <c r="E75" s="59">
        <v>2050</v>
      </c>
      <c r="F75" s="59"/>
      <c r="G75" s="48">
        <f>CEILING(G45*0.85, 10)</f>
        <v>2900</v>
      </c>
      <c r="H75" s="86">
        <f>G75*(1-$H$3)</f>
        <v>1769</v>
      </c>
      <c r="I75" s="58">
        <v>2600</v>
      </c>
      <c r="J75" s="339">
        <f t="shared" ref="J75:J90" si="5">G75/I75-1</f>
        <v>0.11538461538461542</v>
      </c>
    </row>
    <row r="76" spans="1:10" ht="15" customHeight="1" x14ac:dyDescent="0.3">
      <c r="A76" s="379" t="s">
        <v>103</v>
      </c>
      <c r="B76" s="380"/>
      <c r="C76" s="380"/>
      <c r="D76" s="381"/>
      <c r="E76" s="59">
        <v>2150</v>
      </c>
      <c r="F76" s="59"/>
      <c r="G76" s="48">
        <f>CEILING(G75/2.2, 5)</f>
        <v>1320</v>
      </c>
      <c r="H76" s="86">
        <f>G76*(1-$H$3)</f>
        <v>805.19999999999993</v>
      </c>
      <c r="I76" s="58">
        <v>1200</v>
      </c>
      <c r="J76" s="339">
        <f t="shared" si="5"/>
        <v>0.10000000000000009</v>
      </c>
    </row>
    <row r="77" spans="1:10" ht="15" customHeight="1" x14ac:dyDescent="0.3">
      <c r="A77" s="382"/>
      <c r="B77" s="383"/>
      <c r="C77" s="383"/>
      <c r="D77" s="384"/>
      <c r="E77" s="59">
        <v>2400</v>
      </c>
      <c r="F77" s="47">
        <v>0.1</v>
      </c>
      <c r="G77" s="46">
        <f>CEILING(G76*(1+F77), 10)</f>
        <v>1460</v>
      </c>
      <c r="H77" s="87">
        <f>G77*(1-$H$3)</f>
        <v>890.6</v>
      </c>
      <c r="I77" s="58">
        <v>1320</v>
      </c>
      <c r="J77" s="339">
        <f t="shared" si="5"/>
        <v>0.10606060606060597</v>
      </c>
    </row>
    <row r="78" spans="1:10" ht="15" customHeight="1" x14ac:dyDescent="0.3">
      <c r="A78" s="385"/>
      <c r="B78" s="386"/>
      <c r="C78" s="386"/>
      <c r="D78" s="387"/>
      <c r="E78" s="59">
        <v>2700</v>
      </c>
      <c r="F78" s="47">
        <v>0.3</v>
      </c>
      <c r="G78" s="46">
        <f>CEILING(G76*(1+F78), 10)</f>
        <v>1720</v>
      </c>
      <c r="H78" s="87">
        <f>G78*(1-$H$3)</f>
        <v>1049.2</v>
      </c>
      <c r="I78" s="58">
        <v>1560</v>
      </c>
      <c r="J78" s="339">
        <f t="shared" si="5"/>
        <v>0.10256410256410264</v>
      </c>
    </row>
    <row r="79" spans="1:10" ht="15" customHeight="1" x14ac:dyDescent="0.3">
      <c r="A79" s="94" t="s">
        <v>97</v>
      </c>
      <c r="B79" s="79"/>
      <c r="C79" s="79"/>
      <c r="D79" s="79"/>
      <c r="E79" s="79"/>
      <c r="F79" s="79"/>
      <c r="G79" s="80"/>
      <c r="H79" s="88"/>
      <c r="J79" s="339" t="s">
        <v>390</v>
      </c>
    </row>
    <row r="80" spans="1:10" ht="15" customHeight="1" x14ac:dyDescent="0.3">
      <c r="A80" s="373" t="s">
        <v>126</v>
      </c>
      <c r="B80" s="373"/>
      <c r="C80" s="373"/>
      <c r="D80" s="373"/>
      <c r="E80" s="59">
        <v>2000</v>
      </c>
      <c r="F80" s="59"/>
      <c r="G80" s="46">
        <f>G16</f>
        <v>890</v>
      </c>
      <c r="H80" s="87">
        <f>G80*(1-$H$3)</f>
        <v>542.9</v>
      </c>
      <c r="I80" s="58">
        <v>800</v>
      </c>
      <c r="J80" s="339">
        <f t="shared" si="5"/>
        <v>0.11250000000000004</v>
      </c>
    </row>
    <row r="81" spans="1:10" ht="15" customHeight="1" x14ac:dyDescent="0.3">
      <c r="A81" s="373" t="s">
        <v>101</v>
      </c>
      <c r="B81" s="373"/>
      <c r="C81" s="373"/>
      <c r="D81" s="373"/>
      <c r="E81" s="59">
        <v>2000</v>
      </c>
      <c r="F81" s="59"/>
      <c r="G81" s="46">
        <f>G19</f>
        <v>940</v>
      </c>
      <c r="H81" s="87">
        <f>G81*(1-$H$3)</f>
        <v>573.4</v>
      </c>
      <c r="I81" s="58">
        <v>850</v>
      </c>
      <c r="J81" s="339">
        <f t="shared" si="5"/>
        <v>0.10588235294117654</v>
      </c>
    </row>
    <row r="82" spans="1:10" ht="15" customHeight="1" x14ac:dyDescent="0.3">
      <c r="A82" s="373" t="s">
        <v>127</v>
      </c>
      <c r="B82" s="373"/>
      <c r="C82" s="373"/>
      <c r="D82" s="373"/>
      <c r="E82" s="59">
        <v>2000</v>
      </c>
      <c r="F82" s="59"/>
      <c r="G82" s="46">
        <f>G22</f>
        <v>990</v>
      </c>
      <c r="H82" s="87">
        <f>G82*(1-$H$3)</f>
        <v>603.9</v>
      </c>
      <c r="I82" s="58">
        <v>900</v>
      </c>
      <c r="J82" s="339">
        <f t="shared" si="5"/>
        <v>0.10000000000000009</v>
      </c>
    </row>
    <row r="83" spans="1:10" ht="15" customHeight="1" x14ac:dyDescent="0.3">
      <c r="A83" s="373" t="s">
        <v>102</v>
      </c>
      <c r="B83" s="373"/>
      <c r="C83" s="373"/>
      <c r="D83" s="373"/>
      <c r="E83" s="59">
        <v>2000</v>
      </c>
      <c r="F83" s="59"/>
      <c r="G83" s="46">
        <f>G25</f>
        <v>1040</v>
      </c>
      <c r="H83" s="87">
        <f>G83*(1-$H$3)</f>
        <v>634.4</v>
      </c>
      <c r="I83" s="58">
        <v>950</v>
      </c>
      <c r="J83" s="339">
        <f t="shared" si="5"/>
        <v>9.473684210526323E-2</v>
      </c>
    </row>
    <row r="84" spans="1:10" ht="25.5" customHeight="1" x14ac:dyDescent="0.3">
      <c r="A84" s="375" t="s">
        <v>135</v>
      </c>
      <c r="B84" s="376"/>
      <c r="C84" s="376"/>
      <c r="D84" s="376"/>
      <c r="E84" s="376"/>
      <c r="F84" s="377"/>
      <c r="G84" s="87">
        <v>1900</v>
      </c>
      <c r="H84" s="87">
        <f>G84*(1-34%)</f>
        <v>1253.9999999999998</v>
      </c>
      <c r="I84" s="58">
        <v>1900</v>
      </c>
      <c r="J84" s="339">
        <f t="shared" si="5"/>
        <v>0</v>
      </c>
    </row>
    <row r="85" spans="1:10" x14ac:dyDescent="0.3">
      <c r="A85" s="372" t="s">
        <v>133</v>
      </c>
      <c r="B85" s="372"/>
      <c r="C85" s="371" t="s">
        <v>132</v>
      </c>
      <c r="D85" s="371"/>
      <c r="E85" s="59">
        <v>2000</v>
      </c>
      <c r="F85" s="59"/>
      <c r="G85" s="46">
        <f>G83</f>
        <v>1040</v>
      </c>
      <c r="H85" s="87">
        <f t="shared" ref="H85:H86" si="6">G85*(1-$H$3)</f>
        <v>634.4</v>
      </c>
      <c r="I85" s="58">
        <v>950</v>
      </c>
      <c r="J85" s="339">
        <f t="shared" si="5"/>
        <v>9.473684210526323E-2</v>
      </c>
    </row>
    <row r="86" spans="1:10" x14ac:dyDescent="0.3">
      <c r="A86" s="372"/>
      <c r="B86" s="372"/>
      <c r="C86" s="371" t="s">
        <v>134</v>
      </c>
      <c r="D86" s="371"/>
      <c r="E86" s="59">
        <v>2000</v>
      </c>
      <c r="F86" s="59"/>
      <c r="G86" s="46">
        <f>G82</f>
        <v>990</v>
      </c>
      <c r="H86" s="87">
        <f t="shared" si="6"/>
        <v>603.9</v>
      </c>
      <c r="I86" s="58">
        <v>900</v>
      </c>
      <c r="J86" s="339">
        <f t="shared" si="5"/>
        <v>0.10000000000000009</v>
      </c>
    </row>
    <row r="87" spans="1:10" ht="15" customHeight="1" x14ac:dyDescent="0.3">
      <c r="A87" s="94" t="s">
        <v>110</v>
      </c>
      <c r="B87" s="79"/>
      <c r="C87" s="79"/>
      <c r="D87" s="79"/>
      <c r="E87" s="79"/>
      <c r="F87" s="79"/>
      <c r="G87" s="80"/>
      <c r="H87" s="88"/>
      <c r="J87" s="339" t="s">
        <v>390</v>
      </c>
    </row>
    <row r="88" spans="1:10" ht="15" customHeight="1" x14ac:dyDescent="0.3">
      <c r="A88" s="379" t="s">
        <v>116</v>
      </c>
      <c r="B88" s="380"/>
      <c r="C88" s="380"/>
      <c r="D88" s="381"/>
      <c r="E88" s="59">
        <v>2050</v>
      </c>
      <c r="F88" s="59"/>
      <c r="G88" s="48">
        <f>CEILING(G76/3, 10)</f>
        <v>440</v>
      </c>
      <c r="H88" s="86">
        <f>G88*(1-$H$3)</f>
        <v>268.39999999999998</v>
      </c>
      <c r="I88" s="58">
        <v>400</v>
      </c>
      <c r="J88" s="339">
        <f t="shared" si="5"/>
        <v>0.10000000000000009</v>
      </c>
    </row>
    <row r="89" spans="1:10" ht="15" customHeight="1" x14ac:dyDescent="0.3">
      <c r="A89" s="382"/>
      <c r="B89" s="383"/>
      <c r="C89" s="383"/>
      <c r="D89" s="384"/>
      <c r="E89" s="59">
        <v>2400</v>
      </c>
      <c r="F89" s="47">
        <v>0.1</v>
      </c>
      <c r="G89" s="46">
        <f>CEILING(G88*(1+F89), 10)</f>
        <v>490</v>
      </c>
      <c r="H89" s="86">
        <f>G89*(1-$H$3)</f>
        <v>298.89999999999998</v>
      </c>
      <c r="I89" s="58">
        <v>440</v>
      </c>
      <c r="J89" s="339">
        <f t="shared" si="5"/>
        <v>0.11363636363636354</v>
      </c>
    </row>
    <row r="90" spans="1:10" ht="15" customHeight="1" x14ac:dyDescent="0.3">
      <c r="A90" s="385"/>
      <c r="B90" s="386"/>
      <c r="C90" s="386"/>
      <c r="D90" s="387"/>
      <c r="E90" s="59">
        <v>2700</v>
      </c>
      <c r="F90" s="47">
        <v>0.3</v>
      </c>
      <c r="G90" s="46">
        <f>CEILING(G88*(1+F90), 10)</f>
        <v>580</v>
      </c>
      <c r="H90" s="86">
        <f>G90*(1-$H$3)</f>
        <v>353.8</v>
      </c>
      <c r="I90" s="58">
        <v>520</v>
      </c>
      <c r="J90" s="339">
        <f t="shared" si="5"/>
        <v>0.11538461538461542</v>
      </c>
    </row>
    <row r="91" spans="1:10" ht="15" customHeight="1" x14ac:dyDescent="0.3">
      <c r="A91" s="95"/>
      <c r="B91" s="71"/>
      <c r="C91" s="71"/>
      <c r="D91" s="71"/>
      <c r="E91" s="72"/>
      <c r="F91" s="72"/>
      <c r="G91" s="73"/>
      <c r="H91" s="89"/>
    </row>
  </sheetData>
  <mergeCells count="40">
    <mergeCell ref="A3:G3"/>
    <mergeCell ref="A4:G4"/>
    <mergeCell ref="A35:B37"/>
    <mergeCell ref="C35:D35"/>
    <mergeCell ref="C36:D37"/>
    <mergeCell ref="A9:D11"/>
    <mergeCell ref="A16:D18"/>
    <mergeCell ref="A19:D21"/>
    <mergeCell ref="A22:D24"/>
    <mergeCell ref="A25:D27"/>
    <mergeCell ref="A32:D34"/>
    <mergeCell ref="A29:D31"/>
    <mergeCell ref="A88:D90"/>
    <mergeCell ref="A42:H42"/>
    <mergeCell ref="C69:D69"/>
    <mergeCell ref="C70:D71"/>
    <mergeCell ref="A60:D62"/>
    <mergeCell ref="A63:D65"/>
    <mergeCell ref="A66:D68"/>
    <mergeCell ref="A45:D46"/>
    <mergeCell ref="A47:D48"/>
    <mergeCell ref="A49:D49"/>
    <mergeCell ref="A69:B71"/>
    <mergeCell ref="A75:D75"/>
    <mergeCell ref="A76:D78"/>
    <mergeCell ref="A52:D54"/>
    <mergeCell ref="A80:D80"/>
    <mergeCell ref="A83:D83"/>
    <mergeCell ref="I6:I7"/>
    <mergeCell ref="J6:J7"/>
    <mergeCell ref="C85:D85"/>
    <mergeCell ref="C86:D86"/>
    <mergeCell ref="A85:B86"/>
    <mergeCell ref="A82:D82"/>
    <mergeCell ref="A6:D6"/>
    <mergeCell ref="A84:F84"/>
    <mergeCell ref="A81:D81"/>
    <mergeCell ref="A38:D40"/>
    <mergeCell ref="A12:D14"/>
    <mergeCell ref="A56:D58"/>
  </mergeCells>
  <hyperlinks>
    <hyperlink ref="A3:G3" location="СОДЕРЖАНИЕ!A1" display="вернуться в содержание"/>
  </hyperlink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49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6"/>
  <sheetViews>
    <sheetView view="pageBreakPreview" zoomScaleNormal="100" zoomScaleSheetLayoutView="100" workbookViewId="0">
      <selection activeCell="H1" sqref="H1:R1048576"/>
    </sheetView>
  </sheetViews>
  <sheetFormatPr defaultRowHeight="14.4" outlineLevelRow="1" outlineLevelCol="1" x14ac:dyDescent="0.3"/>
  <cols>
    <col min="1" max="1" width="10.5546875" customWidth="1"/>
    <col min="2" max="2" width="24" bestFit="1" customWidth="1"/>
    <col min="3" max="7" width="12.6640625" customWidth="1"/>
    <col min="8" max="8" width="9.109375" hidden="1" customWidth="1" outlineLevel="1"/>
    <col min="9" max="10" width="11.44140625" hidden="1" customWidth="1" outlineLevel="1"/>
    <col min="11" max="11" width="9.109375" hidden="1" customWidth="1" outlineLevel="1"/>
    <col min="12" max="18" width="0" hidden="1" customWidth="1"/>
  </cols>
  <sheetData>
    <row r="1" spans="1:18" s="58" customFormat="1" ht="18.75" customHeight="1" x14ac:dyDescent="0.3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8" s="58" customFormat="1" ht="20.25" customHeight="1" x14ac:dyDescent="0.3">
      <c r="A2" s="91"/>
      <c r="B2" s="57"/>
      <c r="C2" s="57"/>
      <c r="D2" s="57"/>
      <c r="E2" s="57"/>
      <c r="F2"/>
      <c r="G2"/>
    </row>
    <row r="3" spans="1:18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8" ht="17.399999999999999" x14ac:dyDescent="0.3">
      <c r="A4" s="397" t="s">
        <v>55</v>
      </c>
      <c r="B4" s="397"/>
      <c r="C4" s="397"/>
      <c r="D4" s="397"/>
      <c r="E4" s="397"/>
      <c r="F4" s="397"/>
      <c r="G4" s="397"/>
    </row>
    <row r="5" spans="1:18" ht="9" customHeight="1" x14ac:dyDescent="0.3">
      <c r="A5" s="33"/>
      <c r="B5" s="33"/>
      <c r="C5" s="33"/>
      <c r="D5" s="33"/>
      <c r="E5" s="33"/>
      <c r="F5" s="33"/>
      <c r="G5" s="33"/>
    </row>
    <row r="6" spans="1:18" ht="9" customHeight="1" x14ac:dyDescent="0.3">
      <c r="A6" s="33"/>
      <c r="B6" s="33"/>
      <c r="C6" s="33"/>
      <c r="D6" s="33"/>
      <c r="E6" s="33"/>
      <c r="F6" s="33"/>
      <c r="G6" s="33"/>
    </row>
    <row r="7" spans="1:18" ht="144" customHeight="1" x14ac:dyDescent="0.3">
      <c r="C7" s="1"/>
      <c r="D7" s="1"/>
      <c r="E7" s="1"/>
      <c r="F7" s="1"/>
      <c r="G7" s="1"/>
    </row>
    <row r="8" spans="1:18" ht="20.25" customHeight="1" x14ac:dyDescent="0.3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  <c r="K8" s="162" t="s">
        <v>400</v>
      </c>
    </row>
    <row r="9" spans="1:18" ht="15.6" customHeight="1" x14ac:dyDescent="0.3">
      <c r="A9" s="36"/>
      <c r="B9" s="36"/>
      <c r="C9" s="36"/>
      <c r="D9" s="36"/>
      <c r="E9" s="36"/>
      <c r="F9" s="36"/>
      <c r="G9" s="36"/>
    </row>
    <row r="10" spans="1:18" ht="15.6" customHeight="1" x14ac:dyDescent="0.3">
      <c r="A10" s="408" t="s">
        <v>136</v>
      </c>
      <c r="B10" s="409"/>
      <c r="C10" s="409"/>
      <c r="D10" s="409"/>
      <c r="E10" s="409"/>
      <c r="F10" s="409"/>
      <c r="G10" s="410"/>
    </row>
    <row r="11" spans="1:18" ht="15.6" customHeight="1" x14ac:dyDescent="0.3">
      <c r="A11" s="403" t="s">
        <v>83</v>
      </c>
      <c r="B11" s="403"/>
      <c r="C11" s="405" t="s">
        <v>68</v>
      </c>
      <c r="D11" s="406"/>
      <c r="E11" s="406"/>
      <c r="F11" s="406"/>
      <c r="G11" s="126"/>
    </row>
    <row r="12" spans="1:18" ht="24" x14ac:dyDescent="0.3">
      <c r="A12" s="403"/>
      <c r="B12" s="403"/>
      <c r="C12" s="113" t="s">
        <v>65</v>
      </c>
      <c r="D12" s="113" t="s">
        <v>66</v>
      </c>
      <c r="E12" s="113" t="s">
        <v>69</v>
      </c>
      <c r="F12" s="111" t="s">
        <v>87</v>
      </c>
      <c r="G12" s="113" t="s">
        <v>88</v>
      </c>
      <c r="H12" s="56" t="s">
        <v>140</v>
      </c>
      <c r="I12" s="52" t="s">
        <v>141</v>
      </c>
      <c r="K12" s="338" t="s">
        <v>239</v>
      </c>
      <c r="M12" s="338" t="s">
        <v>401</v>
      </c>
      <c r="O12" s="338" t="s">
        <v>238</v>
      </c>
      <c r="Q12" s="338" t="s">
        <v>402</v>
      </c>
    </row>
    <row r="13" spans="1:18" s="49" customFormat="1" ht="27" customHeight="1" x14ac:dyDescent="0.3">
      <c r="A13" s="396" t="s">
        <v>64</v>
      </c>
      <c r="B13" s="396"/>
      <c r="C13" s="404" t="s">
        <v>67</v>
      </c>
      <c r="D13" s="50">
        <v>2000</v>
      </c>
      <c r="E13" s="50" t="s">
        <v>70</v>
      </c>
      <c r="F13" s="48">
        <f>база!D15</f>
        <v>15830</v>
      </c>
      <c r="G13" s="48">
        <f>F13*(1-$G$8)</f>
        <v>12664</v>
      </c>
      <c r="H13" s="48">
        <f>F13*0.61</f>
        <v>9656.2999999999993</v>
      </c>
      <c r="I13" s="48">
        <f>H13*(1-$I$8)</f>
        <v>8690.67</v>
      </c>
      <c r="J13"/>
      <c r="K13" s="48">
        <v>14450</v>
      </c>
      <c r="L13" s="310">
        <f>F13/K13-1</f>
        <v>9.5501730103806137E-2</v>
      </c>
      <c r="M13" s="48">
        <f>K13*(1-$G$8)</f>
        <v>11560</v>
      </c>
      <c r="N13" s="310">
        <f>G13/M13-1</f>
        <v>9.5501730103806137E-2</v>
      </c>
      <c r="O13" s="48">
        <f>K13*0.61</f>
        <v>8814.5</v>
      </c>
      <c r="P13" s="310">
        <f>H13/O13-1</f>
        <v>9.5501730103806137E-2</v>
      </c>
      <c r="Q13" s="48">
        <f>O13*(1-$I$8)</f>
        <v>7933.05</v>
      </c>
      <c r="R13" s="310">
        <f>I13/Q13-1</f>
        <v>9.5501730103806137E-2</v>
      </c>
    </row>
    <row r="14" spans="1:18" ht="25.5" customHeight="1" outlineLevel="1" x14ac:dyDescent="0.3">
      <c r="A14" s="396"/>
      <c r="B14" s="396"/>
      <c r="C14" s="404"/>
      <c r="D14" s="45">
        <v>2100</v>
      </c>
      <c r="E14" s="47">
        <v>0.1</v>
      </c>
      <c r="F14" s="46">
        <f>CEILING(F13*(1+E14), 50)</f>
        <v>17450</v>
      </c>
      <c r="G14" s="46">
        <f t="shared" ref="G14:G21" si="0">F14*(1-$G$8)</f>
        <v>13960</v>
      </c>
      <c r="H14" s="48">
        <f t="shared" ref="H14:H21" si="1">F14*0.61</f>
        <v>10644.5</v>
      </c>
      <c r="I14" s="46">
        <f t="shared" ref="I14:I21" si="2">H14*(1-$I$8)</f>
        <v>9580.0500000000011</v>
      </c>
      <c r="K14" s="48">
        <v>15900</v>
      </c>
      <c r="L14" s="310">
        <f t="shared" ref="L14:L15" si="3">F14/K14-1</f>
        <v>9.7484276729559838E-2</v>
      </c>
      <c r="M14" s="48">
        <f t="shared" ref="M14:M21" si="4">K14*(1-$G$8)</f>
        <v>12720</v>
      </c>
      <c r="N14" s="310">
        <f t="shared" ref="N14:N21" si="5">G14/M14-1</f>
        <v>9.7484276729559838E-2</v>
      </c>
      <c r="O14" s="48">
        <f t="shared" ref="O14:O21" si="6">K14*0.61</f>
        <v>9699</v>
      </c>
      <c r="P14" s="310">
        <f t="shared" ref="P14:P21" si="7">H14/O14-1</f>
        <v>9.7484276729559838E-2</v>
      </c>
      <c r="Q14" s="48">
        <f t="shared" ref="Q14:Q21" si="8">O14*(1-$I$8)</f>
        <v>8729.1</v>
      </c>
      <c r="R14" s="310">
        <f t="shared" ref="R14:R21" si="9">I14/Q14-1</f>
        <v>9.7484276729559838E-2</v>
      </c>
    </row>
    <row r="15" spans="1:18" ht="25.5" customHeight="1" outlineLevel="1" x14ac:dyDescent="0.3">
      <c r="A15" s="396"/>
      <c r="B15" s="396"/>
      <c r="C15" s="404"/>
      <c r="D15" s="45">
        <v>2200</v>
      </c>
      <c r="E15" s="47">
        <v>0.2</v>
      </c>
      <c r="F15" s="46">
        <f>CEILING(F13*(1+E15), 50)</f>
        <v>19000</v>
      </c>
      <c r="G15" s="46">
        <f t="shared" si="0"/>
        <v>15200</v>
      </c>
      <c r="H15" s="48">
        <f t="shared" si="1"/>
        <v>11590</v>
      </c>
      <c r="I15" s="46">
        <f t="shared" si="2"/>
        <v>10431</v>
      </c>
      <c r="K15" s="48">
        <v>17350</v>
      </c>
      <c r="L15" s="310">
        <f t="shared" si="3"/>
        <v>9.5100864553314013E-2</v>
      </c>
      <c r="M15" s="48">
        <f t="shared" si="4"/>
        <v>13880</v>
      </c>
      <c r="N15" s="310">
        <f t="shared" si="5"/>
        <v>9.5100864553314013E-2</v>
      </c>
      <c r="O15" s="48">
        <f t="shared" si="6"/>
        <v>10583.5</v>
      </c>
      <c r="P15" s="310">
        <f t="shared" si="7"/>
        <v>9.5100864553314013E-2</v>
      </c>
      <c r="Q15" s="48">
        <f t="shared" si="8"/>
        <v>9525.15</v>
      </c>
      <c r="R15" s="310">
        <f t="shared" si="9"/>
        <v>9.5100864553314235E-2</v>
      </c>
    </row>
    <row r="16" spans="1:18" ht="25.5" customHeight="1" outlineLevel="1" x14ac:dyDescent="0.3">
      <c r="A16" s="396"/>
      <c r="B16" s="396"/>
      <c r="C16" s="404"/>
      <c r="D16" s="302">
        <v>2300</v>
      </c>
      <c r="E16" s="47">
        <v>0.3</v>
      </c>
      <c r="F16" s="46">
        <f>CEILING(F13*(1+E16), 50)</f>
        <v>20600</v>
      </c>
      <c r="G16" s="46">
        <f t="shared" ref="G16" si="10">F16*(1-$G$8)</f>
        <v>16480</v>
      </c>
      <c r="H16" s="48">
        <f t="shared" si="1"/>
        <v>12566</v>
      </c>
      <c r="I16" s="46">
        <f t="shared" si="2"/>
        <v>11309.4</v>
      </c>
      <c r="K16" s="48">
        <v>18800</v>
      </c>
      <c r="L16" s="310">
        <f>F16/K16-1</f>
        <v>9.5744680851063801E-2</v>
      </c>
      <c r="M16" s="48">
        <f t="shared" si="4"/>
        <v>15040</v>
      </c>
      <c r="N16" s="310">
        <f t="shared" si="5"/>
        <v>9.5744680851063801E-2</v>
      </c>
      <c r="O16" s="48">
        <f t="shared" si="6"/>
        <v>11468</v>
      </c>
      <c r="P16" s="310">
        <f t="shared" si="7"/>
        <v>9.5744680851063801E-2</v>
      </c>
      <c r="Q16" s="48">
        <f t="shared" si="8"/>
        <v>10321.200000000001</v>
      </c>
      <c r="R16" s="310">
        <f t="shared" si="9"/>
        <v>9.5744680851063801E-2</v>
      </c>
    </row>
    <row r="17" spans="1:18" ht="25.5" customHeight="1" outlineLevel="1" x14ac:dyDescent="0.3">
      <c r="A17" s="396"/>
      <c r="B17" s="396"/>
      <c r="C17" s="404"/>
      <c r="D17" s="45">
        <v>2400</v>
      </c>
      <c r="E17" s="47">
        <v>0.4</v>
      </c>
      <c r="F17" s="46">
        <f>CEILING(F13*(1+E17), 50)</f>
        <v>22200</v>
      </c>
      <c r="G17" s="46">
        <f t="shared" si="0"/>
        <v>17760</v>
      </c>
      <c r="H17" s="48">
        <f t="shared" si="1"/>
        <v>13542</v>
      </c>
      <c r="I17" s="46">
        <f t="shared" si="2"/>
        <v>12187.800000000001</v>
      </c>
      <c r="K17" s="48"/>
      <c r="L17" s="310"/>
      <c r="M17" s="48">
        <f t="shared" si="4"/>
        <v>0</v>
      </c>
      <c r="N17" s="310"/>
      <c r="O17" s="48">
        <f t="shared" si="6"/>
        <v>0</v>
      </c>
      <c r="P17" s="310"/>
      <c r="Q17" s="48">
        <f t="shared" si="8"/>
        <v>0</v>
      </c>
      <c r="R17" s="310"/>
    </row>
    <row r="18" spans="1:18" s="49" customFormat="1" ht="27" customHeight="1" x14ac:dyDescent="0.3">
      <c r="A18" s="396"/>
      <c r="B18" s="396"/>
      <c r="C18" s="404">
        <v>900</v>
      </c>
      <c r="D18" s="50">
        <v>2000</v>
      </c>
      <c r="E18" s="50" t="s">
        <v>70</v>
      </c>
      <c r="F18" s="48">
        <f>CEILING(F13*(1+10%), 50)</f>
        <v>17450</v>
      </c>
      <c r="G18" s="48">
        <f t="shared" si="0"/>
        <v>13960</v>
      </c>
      <c r="H18" s="48">
        <f t="shared" si="1"/>
        <v>10644.5</v>
      </c>
      <c r="I18" s="48">
        <f t="shared" si="2"/>
        <v>9580.0500000000011</v>
      </c>
      <c r="J18"/>
      <c r="K18" s="48">
        <v>15900</v>
      </c>
      <c r="L18" s="310">
        <f>F18/K18-1</f>
        <v>9.7484276729559838E-2</v>
      </c>
      <c r="M18" s="48">
        <f t="shared" si="4"/>
        <v>12720</v>
      </c>
      <c r="N18" s="310">
        <f t="shared" si="5"/>
        <v>9.7484276729559838E-2</v>
      </c>
      <c r="O18" s="48">
        <f t="shared" si="6"/>
        <v>9699</v>
      </c>
      <c r="P18" s="310">
        <f t="shared" si="7"/>
        <v>9.7484276729559838E-2</v>
      </c>
      <c r="Q18" s="48">
        <f t="shared" si="8"/>
        <v>8729.1</v>
      </c>
      <c r="R18" s="310">
        <f t="shared" si="9"/>
        <v>9.7484276729559838E-2</v>
      </c>
    </row>
    <row r="19" spans="1:18" ht="25.5" customHeight="1" outlineLevel="1" x14ac:dyDescent="0.3">
      <c r="A19" s="396"/>
      <c r="B19" s="396"/>
      <c r="C19" s="404"/>
      <c r="D19" s="45">
        <v>2100</v>
      </c>
      <c r="E19" s="47">
        <v>0.1</v>
      </c>
      <c r="F19" s="46">
        <f>CEILING(F18*(1+E19), 50)</f>
        <v>19200</v>
      </c>
      <c r="G19" s="46">
        <f t="shared" si="0"/>
        <v>15360</v>
      </c>
      <c r="H19" s="48">
        <f t="shared" si="1"/>
        <v>11712</v>
      </c>
      <c r="I19" s="46">
        <f t="shared" si="2"/>
        <v>10540.800000000001</v>
      </c>
      <c r="K19" s="48">
        <v>17500</v>
      </c>
      <c r="L19" s="310">
        <f>F19/K19-1</f>
        <v>9.7142857142857197E-2</v>
      </c>
      <c r="M19" s="48">
        <f t="shared" si="4"/>
        <v>14000</v>
      </c>
      <c r="N19" s="310">
        <f t="shared" si="5"/>
        <v>9.7142857142857197E-2</v>
      </c>
      <c r="O19" s="48">
        <f t="shared" si="6"/>
        <v>10675</v>
      </c>
      <c r="P19" s="310">
        <f t="shared" si="7"/>
        <v>9.7142857142857197E-2</v>
      </c>
      <c r="Q19" s="48">
        <f t="shared" si="8"/>
        <v>9607.5</v>
      </c>
      <c r="R19" s="310">
        <f t="shared" si="9"/>
        <v>9.7142857142857197E-2</v>
      </c>
    </row>
    <row r="20" spans="1:18" ht="25.5" customHeight="1" outlineLevel="1" x14ac:dyDescent="0.3">
      <c r="A20" s="396"/>
      <c r="B20" s="396"/>
      <c r="C20" s="404"/>
      <c r="D20" s="45">
        <v>2200</v>
      </c>
      <c r="E20" s="47">
        <v>0.2</v>
      </c>
      <c r="F20" s="46">
        <f>CEILING(F18*(1+E20), 50)</f>
        <v>20950</v>
      </c>
      <c r="G20" s="46">
        <f t="shared" si="0"/>
        <v>16760</v>
      </c>
      <c r="H20" s="48">
        <f t="shared" si="1"/>
        <v>12779.5</v>
      </c>
      <c r="I20" s="46">
        <f t="shared" si="2"/>
        <v>11501.550000000001</v>
      </c>
      <c r="K20" s="48">
        <v>19100</v>
      </c>
      <c r="L20" s="310">
        <f>F20/K20-1</f>
        <v>9.6858638743455572E-2</v>
      </c>
      <c r="M20" s="48">
        <f t="shared" si="4"/>
        <v>15280</v>
      </c>
      <c r="N20" s="310">
        <f t="shared" si="5"/>
        <v>9.6858638743455572E-2</v>
      </c>
      <c r="O20" s="48">
        <f t="shared" si="6"/>
        <v>11651</v>
      </c>
      <c r="P20" s="310">
        <f t="shared" si="7"/>
        <v>9.6858638743455572E-2</v>
      </c>
      <c r="Q20" s="48">
        <f t="shared" si="8"/>
        <v>10485.9</v>
      </c>
      <c r="R20" s="310">
        <f t="shared" si="9"/>
        <v>9.6858638743455572E-2</v>
      </c>
    </row>
    <row r="21" spans="1:18" ht="25.5" customHeight="1" outlineLevel="1" x14ac:dyDescent="0.3">
      <c r="A21" s="396"/>
      <c r="B21" s="396"/>
      <c r="C21" s="404"/>
      <c r="D21" s="45">
        <v>2300</v>
      </c>
      <c r="E21" s="47">
        <v>0.3</v>
      </c>
      <c r="F21" s="46">
        <f>CEILING(F18*(1+E21), 50)</f>
        <v>22700</v>
      </c>
      <c r="G21" s="46">
        <f t="shared" si="0"/>
        <v>18160</v>
      </c>
      <c r="H21" s="48">
        <f t="shared" si="1"/>
        <v>13847</v>
      </c>
      <c r="I21" s="46">
        <f t="shared" si="2"/>
        <v>12462.300000000001</v>
      </c>
      <c r="K21" s="48">
        <v>20700</v>
      </c>
      <c r="L21" s="310">
        <f>F21/K21-1</f>
        <v>9.661835748792269E-2</v>
      </c>
      <c r="M21" s="48">
        <f t="shared" si="4"/>
        <v>16560</v>
      </c>
      <c r="N21" s="310">
        <f t="shared" si="5"/>
        <v>9.661835748792269E-2</v>
      </c>
      <c r="O21" s="48">
        <f t="shared" si="6"/>
        <v>12627</v>
      </c>
      <c r="P21" s="310">
        <f t="shared" si="7"/>
        <v>9.661835748792269E-2</v>
      </c>
      <c r="Q21" s="48">
        <f t="shared" si="8"/>
        <v>11364.300000000001</v>
      </c>
      <c r="R21" s="310">
        <f t="shared" si="9"/>
        <v>9.661835748792269E-2</v>
      </c>
    </row>
    <row r="22" spans="1:18" ht="25.5" customHeight="1" outlineLevel="1" x14ac:dyDescent="0.3">
      <c r="A22" s="396"/>
      <c r="B22" s="396"/>
      <c r="C22" s="404"/>
      <c r="D22" s="302">
        <v>2400</v>
      </c>
      <c r="E22" s="47">
        <v>0.4</v>
      </c>
      <c r="F22" s="46">
        <f>CEILING(F18*(1+E22), 50)</f>
        <v>24450</v>
      </c>
      <c r="G22" s="46">
        <f t="shared" ref="G22" si="11">F22*(1-$G$8)</f>
        <v>19560</v>
      </c>
      <c r="H22" s="48">
        <f t="shared" ref="H22" si="12">F22*0.61</f>
        <v>14914.5</v>
      </c>
      <c r="I22" s="46">
        <f t="shared" ref="I22" si="13">H22*(1-$I$8)</f>
        <v>13423.050000000001</v>
      </c>
      <c r="K22" s="73"/>
      <c r="L22" s="310"/>
    </row>
    <row r="23" spans="1:18" ht="15.6" customHeight="1" x14ac:dyDescent="0.3">
      <c r="A23" s="36"/>
      <c r="B23" s="36"/>
      <c r="C23" s="36"/>
      <c r="D23" s="36"/>
      <c r="E23" s="36"/>
      <c r="F23" s="36"/>
      <c r="G23" s="36"/>
    </row>
    <row r="24" spans="1:18" ht="15.6" customHeight="1" x14ac:dyDescent="0.3">
      <c r="A24" s="411" t="s">
        <v>193</v>
      </c>
      <c r="B24" s="411"/>
      <c r="C24" s="411"/>
      <c r="D24" s="411"/>
      <c r="E24" s="411"/>
      <c r="F24" s="411"/>
      <c r="G24" s="411"/>
    </row>
    <row r="25" spans="1:18" ht="15.6" customHeight="1" x14ac:dyDescent="0.3">
      <c r="A25" s="36"/>
      <c r="B25" s="36"/>
      <c r="C25" s="36"/>
      <c r="D25" s="36"/>
      <c r="E25" s="36"/>
      <c r="F25" s="36"/>
      <c r="G25" s="36"/>
    </row>
    <row r="26" spans="1:18" ht="15.6" customHeight="1" x14ac:dyDescent="0.3">
      <c r="A26" s="105" t="s">
        <v>142</v>
      </c>
      <c r="B26" s="36"/>
      <c r="C26" s="36"/>
      <c r="D26" s="36"/>
      <c r="E26" s="36"/>
      <c r="F26" s="36"/>
      <c r="G26" s="36"/>
    </row>
    <row r="27" spans="1:18" ht="15.6" customHeight="1" x14ac:dyDescent="0.3">
      <c r="A27" s="284" t="s">
        <v>361</v>
      </c>
      <c r="B27" s="36"/>
      <c r="C27" s="36"/>
      <c r="D27" s="36"/>
      <c r="E27" s="36"/>
      <c r="F27" s="36"/>
      <c r="G27" s="36"/>
    </row>
    <row r="28" spans="1:18" ht="15.6" customHeight="1" x14ac:dyDescent="0.3">
      <c r="A28" s="407" t="s">
        <v>138</v>
      </c>
      <c r="B28" s="407"/>
      <c r="C28" s="407"/>
      <c r="D28" s="407"/>
      <c r="E28" s="407"/>
      <c r="F28" s="407"/>
      <c r="G28" s="407"/>
    </row>
    <row r="29" spans="1:18" ht="15.6" customHeight="1" x14ac:dyDescent="0.3">
      <c r="A29" s="403" t="s">
        <v>84</v>
      </c>
      <c r="B29" s="403"/>
      <c r="C29" s="403" t="s">
        <v>68</v>
      </c>
      <c r="D29" s="403"/>
      <c r="E29" s="403"/>
      <c r="F29" s="403"/>
      <c r="G29" s="403"/>
    </row>
    <row r="30" spans="1:18" ht="24" customHeight="1" x14ac:dyDescent="0.3">
      <c r="A30" s="403"/>
      <c r="B30" s="403"/>
      <c r="C30" s="113" t="s">
        <v>65</v>
      </c>
      <c r="D30" s="113" t="s">
        <v>66</v>
      </c>
      <c r="E30" s="113" t="s">
        <v>166</v>
      </c>
      <c r="F30" s="111" t="s">
        <v>163</v>
      </c>
      <c r="G30" s="113" t="s">
        <v>88</v>
      </c>
    </row>
    <row r="31" spans="1:18" s="49" customFormat="1" ht="27" customHeight="1" x14ac:dyDescent="0.3">
      <c r="A31" s="396" t="s">
        <v>64</v>
      </c>
      <c r="B31" s="307" t="s">
        <v>137</v>
      </c>
      <c r="C31" s="404" t="s">
        <v>67</v>
      </c>
      <c r="D31" s="50">
        <v>2000</v>
      </c>
      <c r="E31" s="48">
        <f>Погонаж!G9*2.5+Погонаж!G16*5</f>
        <v>7450</v>
      </c>
      <c r="F31" s="48">
        <f t="shared" ref="F31:F39" si="14">F13+E31</f>
        <v>23280</v>
      </c>
      <c r="G31" s="48">
        <f t="shared" ref="G31:G39" si="15">G13+E31</f>
        <v>20114</v>
      </c>
      <c r="L31"/>
      <c r="M31"/>
      <c r="N31"/>
      <c r="O31"/>
      <c r="P31"/>
    </row>
    <row r="32" spans="1:18" ht="25.5" customHeight="1" outlineLevel="1" x14ac:dyDescent="0.3">
      <c r="A32" s="396"/>
      <c r="B32" s="402" t="s">
        <v>85</v>
      </c>
      <c r="C32" s="404"/>
      <c r="D32" s="309">
        <v>2100</v>
      </c>
      <c r="E32" s="48">
        <f>Погонаж!G10*2.5+Погонаж!G17*5</f>
        <v>8200</v>
      </c>
      <c r="F32" s="48">
        <f t="shared" si="14"/>
        <v>25650</v>
      </c>
      <c r="G32" s="48">
        <f t="shared" si="15"/>
        <v>22160</v>
      </c>
    </row>
    <row r="33" spans="1:16" ht="25.5" customHeight="1" outlineLevel="1" x14ac:dyDescent="0.3">
      <c r="A33" s="396"/>
      <c r="B33" s="402"/>
      <c r="C33" s="404"/>
      <c r="D33" s="309">
        <v>2200</v>
      </c>
      <c r="E33" s="48">
        <f>E32</f>
        <v>8200</v>
      </c>
      <c r="F33" s="48">
        <f t="shared" si="14"/>
        <v>27200</v>
      </c>
      <c r="G33" s="48">
        <f t="shared" si="15"/>
        <v>23400</v>
      </c>
    </row>
    <row r="34" spans="1:16" ht="25.5" customHeight="1" outlineLevel="1" x14ac:dyDescent="0.3">
      <c r="A34" s="396"/>
      <c r="B34" s="307" t="s">
        <v>86</v>
      </c>
      <c r="C34" s="404"/>
      <c r="D34" s="309">
        <v>2300</v>
      </c>
      <c r="E34" s="48">
        <f>Погонаж!G10*2.5+Погонаж!G18*5</f>
        <v>9100</v>
      </c>
      <c r="F34" s="48">
        <f t="shared" si="14"/>
        <v>29700</v>
      </c>
      <c r="G34" s="48">
        <f t="shared" si="15"/>
        <v>25580</v>
      </c>
    </row>
    <row r="35" spans="1:16" ht="25.5" customHeight="1" outlineLevel="1" x14ac:dyDescent="0.3">
      <c r="A35" s="396"/>
      <c r="B35" s="307" t="s">
        <v>395</v>
      </c>
      <c r="C35" s="404"/>
      <c r="D35" s="309">
        <v>2400</v>
      </c>
      <c r="E35" s="48">
        <f>Погонаж!G11*2.5+Погонаж!G18*5</f>
        <v>9700</v>
      </c>
      <c r="F35" s="48">
        <f t="shared" si="14"/>
        <v>31900</v>
      </c>
      <c r="G35" s="48">
        <f t="shared" si="15"/>
        <v>27460</v>
      </c>
    </row>
    <row r="36" spans="1:16" s="49" customFormat="1" ht="27" customHeight="1" x14ac:dyDescent="0.3">
      <c r="A36" s="396"/>
      <c r="B36" s="307" t="s">
        <v>137</v>
      </c>
      <c r="C36" s="404">
        <v>900</v>
      </c>
      <c r="D36" s="50">
        <v>2000</v>
      </c>
      <c r="E36" s="48">
        <f>E31</f>
        <v>7450</v>
      </c>
      <c r="F36" s="48">
        <f t="shared" si="14"/>
        <v>24900</v>
      </c>
      <c r="G36" s="48">
        <f t="shared" si="15"/>
        <v>21410</v>
      </c>
      <c r="L36"/>
      <c r="M36"/>
      <c r="N36"/>
      <c r="O36"/>
      <c r="P36"/>
    </row>
    <row r="37" spans="1:16" ht="25.5" customHeight="1" outlineLevel="1" x14ac:dyDescent="0.3">
      <c r="A37" s="396"/>
      <c r="B37" s="402" t="s">
        <v>85</v>
      </c>
      <c r="C37" s="404"/>
      <c r="D37" s="309">
        <v>2100</v>
      </c>
      <c r="E37" s="48">
        <f t="shared" ref="E37:E38" si="16">E32</f>
        <v>8200</v>
      </c>
      <c r="F37" s="48">
        <f t="shared" si="14"/>
        <v>27400</v>
      </c>
      <c r="G37" s="48">
        <f t="shared" si="15"/>
        <v>23560</v>
      </c>
    </row>
    <row r="38" spans="1:16" ht="25.5" customHeight="1" outlineLevel="1" x14ac:dyDescent="0.3">
      <c r="A38" s="396"/>
      <c r="B38" s="402"/>
      <c r="C38" s="404"/>
      <c r="D38" s="309">
        <v>2200</v>
      </c>
      <c r="E38" s="48">
        <f t="shared" si="16"/>
        <v>8200</v>
      </c>
      <c r="F38" s="48">
        <f t="shared" si="14"/>
        <v>29150</v>
      </c>
      <c r="G38" s="48">
        <f t="shared" si="15"/>
        <v>24960</v>
      </c>
    </row>
    <row r="39" spans="1:16" ht="25.5" customHeight="1" outlineLevel="1" x14ac:dyDescent="0.3">
      <c r="A39" s="396"/>
      <c r="B39" s="307" t="s">
        <v>86</v>
      </c>
      <c r="C39" s="404"/>
      <c r="D39" s="309">
        <v>2300</v>
      </c>
      <c r="E39" s="48">
        <f>E34</f>
        <v>9100</v>
      </c>
      <c r="F39" s="48">
        <f t="shared" si="14"/>
        <v>31800</v>
      </c>
      <c r="G39" s="48">
        <f t="shared" si="15"/>
        <v>27260</v>
      </c>
    </row>
    <row r="40" spans="1:16" ht="25.5" customHeight="1" outlineLevel="1" x14ac:dyDescent="0.3">
      <c r="A40" s="396"/>
      <c r="B40" s="307" t="s">
        <v>395</v>
      </c>
      <c r="C40" s="404"/>
      <c r="D40" s="309">
        <v>2400</v>
      </c>
      <c r="E40" s="48">
        <f>E35</f>
        <v>9700</v>
      </c>
      <c r="F40" s="48">
        <f>F22+E35</f>
        <v>34150</v>
      </c>
      <c r="G40" s="48">
        <f>G22+E35</f>
        <v>29260</v>
      </c>
    </row>
    <row r="41" spans="1:16" x14ac:dyDescent="0.3">
      <c r="A41" s="412"/>
      <c r="B41" s="412"/>
      <c r="C41" s="37"/>
      <c r="D41" s="38"/>
      <c r="E41" s="413"/>
      <c r="F41" s="413"/>
      <c r="G41" s="413"/>
    </row>
    <row r="42" spans="1:16" ht="15.6" customHeight="1" x14ac:dyDescent="0.3">
      <c r="A42" s="407" t="s">
        <v>164</v>
      </c>
      <c r="B42" s="407"/>
      <c r="C42" s="407"/>
      <c r="D42" s="407"/>
      <c r="E42" s="407"/>
      <c r="F42" s="407"/>
      <c r="G42" s="407"/>
    </row>
    <row r="43" spans="1:16" ht="15.6" customHeight="1" x14ac:dyDescent="0.3">
      <c r="A43" s="403" t="s">
        <v>139</v>
      </c>
      <c r="B43" s="403"/>
      <c r="C43" s="403" t="s">
        <v>68</v>
      </c>
      <c r="D43" s="403"/>
      <c r="E43" s="403"/>
      <c r="F43" s="403"/>
      <c r="G43" s="403"/>
    </row>
    <row r="44" spans="1:16" ht="24" customHeight="1" x14ac:dyDescent="0.3">
      <c r="A44" s="403"/>
      <c r="B44" s="403"/>
      <c r="C44" s="113" t="s">
        <v>65</v>
      </c>
      <c r="D44" s="113" t="s">
        <v>66</v>
      </c>
      <c r="E44" s="113" t="s">
        <v>166</v>
      </c>
      <c r="F44" s="111" t="s">
        <v>87</v>
      </c>
      <c r="G44" s="113" t="s">
        <v>88</v>
      </c>
    </row>
    <row r="45" spans="1:16" s="49" customFormat="1" ht="27" customHeight="1" x14ac:dyDescent="0.3">
      <c r="A45" s="396" t="s">
        <v>64</v>
      </c>
      <c r="B45" s="307" t="s">
        <v>137</v>
      </c>
      <c r="C45" s="404" t="s">
        <v>67</v>
      </c>
      <c r="D45" s="50">
        <v>2000</v>
      </c>
      <c r="E45" s="123">
        <f>E31+Погонаж!G29*2.5</f>
        <v>9800</v>
      </c>
      <c r="F45" s="48">
        <f t="shared" ref="F45:F54" si="17">F13+E45</f>
        <v>25630</v>
      </c>
      <c r="G45" s="48">
        <f t="shared" ref="G45:G54" si="18">G13+E45</f>
        <v>22464</v>
      </c>
      <c r="H45"/>
      <c r="I45"/>
      <c r="J45"/>
      <c r="K45"/>
      <c r="L45"/>
      <c r="M45"/>
      <c r="N45"/>
      <c r="O45"/>
      <c r="P45"/>
    </row>
    <row r="46" spans="1:16" ht="25.5" customHeight="1" outlineLevel="1" x14ac:dyDescent="0.3">
      <c r="A46" s="396"/>
      <c r="B46" s="402" t="s">
        <v>85</v>
      </c>
      <c r="C46" s="404"/>
      <c r="D46" s="309">
        <v>2100</v>
      </c>
      <c r="E46" s="123">
        <f>E32+Погонаж!G30*2.5</f>
        <v>10800</v>
      </c>
      <c r="F46" s="48">
        <f t="shared" si="17"/>
        <v>28250</v>
      </c>
      <c r="G46" s="48">
        <f t="shared" si="18"/>
        <v>24760</v>
      </c>
    </row>
    <row r="47" spans="1:16" ht="25.5" customHeight="1" outlineLevel="1" x14ac:dyDescent="0.3">
      <c r="A47" s="396"/>
      <c r="B47" s="402"/>
      <c r="C47" s="404"/>
      <c r="D47" s="309">
        <v>2200</v>
      </c>
      <c r="E47" s="123">
        <f>E46</f>
        <v>10800</v>
      </c>
      <c r="F47" s="48">
        <f t="shared" si="17"/>
        <v>29800</v>
      </c>
      <c r="G47" s="48">
        <f t="shared" si="18"/>
        <v>26000</v>
      </c>
    </row>
    <row r="48" spans="1:16" ht="25.5" customHeight="1" outlineLevel="1" x14ac:dyDescent="0.3">
      <c r="A48" s="396"/>
      <c r="B48" s="307" t="s">
        <v>86</v>
      </c>
      <c r="C48" s="404"/>
      <c r="D48" s="309">
        <v>2300</v>
      </c>
      <c r="E48" s="123">
        <f>E34+Погонаж!G30*2.5</f>
        <v>11700</v>
      </c>
      <c r="F48" s="48">
        <f t="shared" si="17"/>
        <v>32300</v>
      </c>
      <c r="G48" s="48">
        <f t="shared" si="18"/>
        <v>28180</v>
      </c>
    </row>
    <row r="49" spans="1:16" ht="25.5" customHeight="1" outlineLevel="1" x14ac:dyDescent="0.3">
      <c r="A49" s="396"/>
      <c r="B49" s="307" t="s">
        <v>395</v>
      </c>
      <c r="C49" s="404"/>
      <c r="D49" s="309">
        <v>2400</v>
      </c>
      <c r="E49" s="123">
        <f>E35+Погонаж!G31*2.5</f>
        <v>12775</v>
      </c>
      <c r="F49" s="48">
        <f t="shared" si="17"/>
        <v>34975</v>
      </c>
      <c r="G49" s="48">
        <f t="shared" si="18"/>
        <v>30535</v>
      </c>
    </row>
    <row r="50" spans="1:16" s="49" customFormat="1" ht="27" customHeight="1" x14ac:dyDescent="0.3">
      <c r="A50" s="396"/>
      <c r="B50" s="307" t="s">
        <v>137</v>
      </c>
      <c r="C50" s="404">
        <v>900</v>
      </c>
      <c r="D50" s="50">
        <v>2000</v>
      </c>
      <c r="E50" s="123">
        <f>E45</f>
        <v>9800</v>
      </c>
      <c r="F50" s="48">
        <f t="shared" si="17"/>
        <v>27250</v>
      </c>
      <c r="G50" s="48">
        <f t="shared" si="18"/>
        <v>23760</v>
      </c>
      <c r="H50"/>
      <c r="I50"/>
      <c r="J50"/>
      <c r="K50"/>
      <c r="L50"/>
      <c r="M50"/>
      <c r="N50"/>
      <c r="O50"/>
      <c r="P50"/>
    </row>
    <row r="51" spans="1:16" ht="25.5" customHeight="1" outlineLevel="1" x14ac:dyDescent="0.3">
      <c r="A51" s="396"/>
      <c r="B51" s="402" t="s">
        <v>85</v>
      </c>
      <c r="C51" s="404"/>
      <c r="D51" s="309">
        <v>2100</v>
      </c>
      <c r="E51" s="123">
        <f t="shared" ref="E51:E52" si="19">E46</f>
        <v>10800</v>
      </c>
      <c r="F51" s="48">
        <f t="shared" si="17"/>
        <v>30000</v>
      </c>
      <c r="G51" s="48">
        <f t="shared" si="18"/>
        <v>26160</v>
      </c>
    </row>
    <row r="52" spans="1:16" ht="25.5" customHeight="1" outlineLevel="1" x14ac:dyDescent="0.3">
      <c r="A52" s="396"/>
      <c r="B52" s="402"/>
      <c r="C52" s="404"/>
      <c r="D52" s="309">
        <v>2200</v>
      </c>
      <c r="E52" s="123">
        <f t="shared" si="19"/>
        <v>10800</v>
      </c>
      <c r="F52" s="48">
        <f t="shared" si="17"/>
        <v>31750</v>
      </c>
      <c r="G52" s="48">
        <f t="shared" si="18"/>
        <v>27560</v>
      </c>
    </row>
    <row r="53" spans="1:16" ht="25.5" customHeight="1" outlineLevel="1" x14ac:dyDescent="0.3">
      <c r="A53" s="396"/>
      <c r="B53" s="307" t="s">
        <v>86</v>
      </c>
      <c r="C53" s="404"/>
      <c r="D53" s="309">
        <v>2300</v>
      </c>
      <c r="E53" s="123">
        <f>E48</f>
        <v>11700</v>
      </c>
      <c r="F53" s="48">
        <f t="shared" si="17"/>
        <v>34400</v>
      </c>
      <c r="G53" s="48">
        <f t="shared" si="18"/>
        <v>29860</v>
      </c>
    </row>
    <row r="54" spans="1:16" ht="25.5" customHeight="1" outlineLevel="1" x14ac:dyDescent="0.3">
      <c r="A54" s="396"/>
      <c r="B54" s="307" t="s">
        <v>395</v>
      </c>
      <c r="C54" s="404"/>
      <c r="D54" s="309">
        <v>2400</v>
      </c>
      <c r="E54" s="123">
        <f>E49</f>
        <v>12775</v>
      </c>
      <c r="F54" s="48">
        <f t="shared" si="17"/>
        <v>37225</v>
      </c>
      <c r="G54" s="48">
        <f t="shared" si="18"/>
        <v>32335</v>
      </c>
    </row>
    <row r="55" spans="1:16" ht="12.75" customHeight="1" x14ac:dyDescent="0.3">
      <c r="A55" s="41"/>
      <c r="B55" s="41"/>
      <c r="C55" s="41"/>
      <c r="D55" s="41"/>
      <c r="E55" s="41"/>
      <c r="F55" s="41"/>
      <c r="G55" s="41"/>
    </row>
    <row r="56" spans="1:16" ht="20.25" customHeight="1" x14ac:dyDescent="0.3"/>
    <row r="112" ht="15" customHeight="1" x14ac:dyDescent="0.3"/>
    <row r="113" spans="1:7" x14ac:dyDescent="0.3">
      <c r="A113" s="39"/>
      <c r="B113" s="39"/>
    </row>
    <row r="114" spans="1:7" x14ac:dyDescent="0.3">
      <c r="B114" s="39"/>
      <c r="C114" s="40"/>
      <c r="D114" s="40"/>
      <c r="E114" s="40"/>
      <c r="F114" s="40"/>
      <c r="G114" s="40"/>
    </row>
    <row r="115" spans="1:7" x14ac:dyDescent="0.3">
      <c r="A115" s="39"/>
      <c r="B115" s="39"/>
    </row>
    <row r="116" spans="1:7" x14ac:dyDescent="0.3">
      <c r="A116" s="39"/>
      <c r="B116" s="39"/>
    </row>
    <row r="117" spans="1:7" x14ac:dyDescent="0.3">
      <c r="A117" s="39"/>
      <c r="B117" s="39"/>
    </row>
    <row r="118" spans="1:7" x14ac:dyDescent="0.3">
      <c r="A118" s="39"/>
      <c r="B118" s="39"/>
    </row>
    <row r="119" spans="1:7" x14ac:dyDescent="0.3">
      <c r="A119" s="39"/>
      <c r="B119" s="39"/>
    </row>
    <row r="120" spans="1:7" x14ac:dyDescent="0.3">
      <c r="A120" s="39"/>
      <c r="B120" s="39"/>
    </row>
    <row r="121" spans="1:7" x14ac:dyDescent="0.3">
      <c r="A121" s="39"/>
      <c r="B121" s="39"/>
    </row>
    <row r="122" spans="1:7" x14ac:dyDescent="0.3">
      <c r="A122" s="39"/>
      <c r="B122" s="39"/>
    </row>
    <row r="123" spans="1:7" x14ac:dyDescent="0.3">
      <c r="A123" s="39"/>
      <c r="B123" s="39"/>
    </row>
    <row r="124" spans="1:7" x14ac:dyDescent="0.3">
      <c r="A124" s="39"/>
      <c r="B124" s="39"/>
    </row>
    <row r="125" spans="1:7" x14ac:dyDescent="0.3">
      <c r="A125" s="39"/>
      <c r="B125" s="39"/>
    </row>
    <row r="126" spans="1:7" x14ac:dyDescent="0.3">
      <c r="A126" s="39"/>
      <c r="B126" s="39"/>
    </row>
    <row r="127" spans="1:7" x14ac:dyDescent="0.3">
      <c r="A127" s="39"/>
      <c r="B127" s="39"/>
    </row>
    <row r="128" spans="1:7" x14ac:dyDescent="0.3">
      <c r="A128" s="39"/>
      <c r="B128" s="39"/>
    </row>
    <row r="129" spans="1:2" x14ac:dyDescent="0.3">
      <c r="A129" s="39"/>
      <c r="B129" s="39"/>
    </row>
    <row r="130" spans="1:2" x14ac:dyDescent="0.3">
      <c r="A130" s="39"/>
      <c r="B130" s="39"/>
    </row>
    <row r="131" spans="1:2" x14ac:dyDescent="0.3">
      <c r="A131" s="39"/>
      <c r="B131" s="39"/>
    </row>
    <row r="132" spans="1:2" x14ac:dyDescent="0.3">
      <c r="A132" s="39"/>
      <c r="B132" s="39"/>
    </row>
    <row r="133" spans="1:2" x14ac:dyDescent="0.3">
      <c r="A133" s="39"/>
      <c r="B133" s="39"/>
    </row>
    <row r="134" spans="1:2" x14ac:dyDescent="0.3">
      <c r="A134" s="39"/>
      <c r="B134" s="39"/>
    </row>
    <row r="135" spans="1:2" x14ac:dyDescent="0.3">
      <c r="A135" s="39"/>
      <c r="B135" s="39"/>
    </row>
    <row r="136" spans="1:2" x14ac:dyDescent="0.3">
      <c r="A136" s="39"/>
      <c r="B136" s="39"/>
    </row>
  </sheetData>
  <mergeCells count="27">
    <mergeCell ref="A41:B41"/>
    <mergeCell ref="E41:G41"/>
    <mergeCell ref="C13:C17"/>
    <mergeCell ref="A42:G42"/>
    <mergeCell ref="A43:B44"/>
    <mergeCell ref="B37:B38"/>
    <mergeCell ref="C31:C35"/>
    <mergeCell ref="A31:A40"/>
    <mergeCell ref="C36:C40"/>
    <mergeCell ref="B32:B33"/>
    <mergeCell ref="A3:G3"/>
    <mergeCell ref="C11:F11"/>
    <mergeCell ref="A28:G28"/>
    <mergeCell ref="A29:B30"/>
    <mergeCell ref="C29:G29"/>
    <mergeCell ref="A4:G4"/>
    <mergeCell ref="A10:G10"/>
    <mergeCell ref="A11:B12"/>
    <mergeCell ref="A24:G24"/>
    <mergeCell ref="C18:C22"/>
    <mergeCell ref="A13:B22"/>
    <mergeCell ref="B51:B52"/>
    <mergeCell ref="C43:G43"/>
    <mergeCell ref="B46:B47"/>
    <mergeCell ref="A45:A54"/>
    <mergeCell ref="C45:C49"/>
    <mergeCell ref="C50:C54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orientation="portrait" r:id="rId1"/>
  <rowBreaks count="1" manualBreakCount="1">
    <brk id="25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4"/>
  <sheetViews>
    <sheetView view="pageBreakPreview" topLeftCell="A37" zoomScaleNormal="100" zoomScaleSheetLayoutView="100" workbookViewId="0">
      <selection activeCell="E45" sqref="E45"/>
    </sheetView>
  </sheetViews>
  <sheetFormatPr defaultRowHeight="14.4" outlineLevelRow="1" outlineLevelCol="1" x14ac:dyDescent="0.3"/>
  <cols>
    <col min="1" max="1" width="10.5546875" customWidth="1"/>
    <col min="2" max="2" width="24" bestFit="1" customWidth="1"/>
    <col min="3" max="7" width="12.6640625" customWidth="1"/>
    <col min="8" max="8" width="9.109375" hidden="1" customWidth="1" outlineLevel="1"/>
    <col min="9" max="9" width="11.44140625" hidden="1" customWidth="1" outlineLevel="1"/>
    <col min="10" max="12" width="0" hidden="1" customWidth="1"/>
  </cols>
  <sheetData>
    <row r="1" spans="1:11" s="58" customFormat="1" ht="18.75" customHeight="1" x14ac:dyDescent="0.3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 x14ac:dyDescent="0.3">
      <c r="A2" s="91"/>
      <c r="B2" s="57"/>
      <c r="C2" s="57"/>
      <c r="D2" s="57"/>
      <c r="E2" s="57"/>
      <c r="F2"/>
      <c r="G2"/>
    </row>
    <row r="3" spans="1:11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1" ht="17.399999999999999" x14ac:dyDescent="0.3">
      <c r="A4" s="397" t="s">
        <v>56</v>
      </c>
      <c r="B4" s="397"/>
      <c r="C4" s="397"/>
      <c r="D4" s="397"/>
      <c r="E4" s="397"/>
      <c r="F4" s="397"/>
      <c r="G4" s="397"/>
    </row>
    <row r="5" spans="1:11" ht="9" customHeight="1" x14ac:dyDescent="0.3">
      <c r="A5" s="33"/>
      <c r="B5" s="33"/>
      <c r="C5" s="33"/>
      <c r="D5" s="33"/>
      <c r="E5" s="33"/>
      <c r="F5" s="33"/>
      <c r="G5" s="33"/>
    </row>
    <row r="6" spans="1:11" ht="9" customHeight="1" x14ac:dyDescent="0.3">
      <c r="A6" s="33"/>
      <c r="B6" s="33"/>
      <c r="C6" s="33"/>
      <c r="D6" s="33"/>
      <c r="E6" s="33"/>
      <c r="F6" s="33"/>
      <c r="G6" s="33"/>
    </row>
    <row r="7" spans="1:11" ht="144" customHeight="1" x14ac:dyDescent="0.3">
      <c r="C7" s="1"/>
      <c r="D7" s="1"/>
      <c r="E7" s="1"/>
      <c r="F7" s="1"/>
      <c r="G7" s="1"/>
    </row>
    <row r="8" spans="1:11" ht="20.25" customHeight="1" x14ac:dyDescent="0.3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 x14ac:dyDescent="0.3">
      <c r="A9" s="36"/>
      <c r="B9" s="36"/>
      <c r="C9" s="36"/>
      <c r="D9" s="36"/>
      <c r="E9" s="36"/>
      <c r="F9" s="36"/>
      <c r="G9" s="36"/>
    </row>
    <row r="10" spans="1:11" ht="15.6" customHeight="1" x14ac:dyDescent="0.3">
      <c r="A10" s="408" t="s">
        <v>136</v>
      </c>
      <c r="B10" s="409"/>
      <c r="C10" s="409"/>
      <c r="D10" s="409"/>
      <c r="E10" s="409"/>
      <c r="F10" s="409"/>
      <c r="G10" s="410"/>
    </row>
    <row r="11" spans="1:11" ht="15.6" customHeight="1" x14ac:dyDescent="0.3">
      <c r="A11" s="374" t="s">
        <v>83</v>
      </c>
      <c r="B11" s="374"/>
      <c r="C11" s="414" t="s">
        <v>68</v>
      </c>
      <c r="D11" s="415"/>
      <c r="E11" s="415"/>
      <c r="F11" s="415"/>
      <c r="G11" s="64"/>
    </row>
    <row r="12" spans="1:11" x14ac:dyDescent="0.3">
      <c r="A12" s="374"/>
      <c r="B12" s="374"/>
      <c r="C12" s="52" t="s">
        <v>65</v>
      </c>
      <c r="D12" s="52" t="s">
        <v>66</v>
      </c>
      <c r="E12" s="52" t="s">
        <v>69</v>
      </c>
      <c r="F12" s="56" t="s">
        <v>87</v>
      </c>
      <c r="G12" s="52" t="s">
        <v>88</v>
      </c>
      <c r="H12" s="56" t="s">
        <v>140</v>
      </c>
      <c r="I12" s="52" t="s">
        <v>141</v>
      </c>
    </row>
    <row r="13" spans="1:11" s="49" customFormat="1" ht="27" customHeight="1" x14ac:dyDescent="0.3">
      <c r="A13" s="396" t="s">
        <v>143</v>
      </c>
      <c r="B13" s="396"/>
      <c r="C13" s="404" t="s">
        <v>67</v>
      </c>
      <c r="D13" s="50">
        <v>2000</v>
      </c>
      <c r="E13" s="50" t="s">
        <v>70</v>
      </c>
      <c r="F13" s="48">
        <f>база!D15</f>
        <v>15830</v>
      </c>
      <c r="G13" s="48">
        <f>F13*(1-$G$8)</f>
        <v>12664</v>
      </c>
      <c r="H13" s="313">
        <f>F13*0.61</f>
        <v>9656.2999999999993</v>
      </c>
      <c r="I13" s="48">
        <f>H13*(1-$I$8)</f>
        <v>8690.67</v>
      </c>
      <c r="J13" s="49">
        <v>14450</v>
      </c>
      <c r="K13" s="310">
        <f>F13/J13-1</f>
        <v>9.5501730103806137E-2</v>
      </c>
    </row>
    <row r="14" spans="1:11" ht="25.5" customHeight="1" x14ac:dyDescent="0.3">
      <c r="A14" s="396"/>
      <c r="B14" s="396"/>
      <c r="C14" s="404"/>
      <c r="D14" s="302">
        <v>2100</v>
      </c>
      <c r="E14" s="47">
        <v>0.1</v>
      </c>
      <c r="F14" s="46">
        <f>CEILING(F13*(1+E14), 50)</f>
        <v>17450</v>
      </c>
      <c r="G14" s="46">
        <f t="shared" ref="G14:G21" si="0">F14*(1-$G$8)</f>
        <v>13960</v>
      </c>
      <c r="H14" s="313">
        <f t="shared" ref="H14:H21" si="1">F14*0.61</f>
        <v>10644.5</v>
      </c>
      <c r="I14" s="46">
        <f t="shared" ref="I14:I21" si="2">H14*(1-$I$8)</f>
        <v>9580.0500000000011</v>
      </c>
      <c r="J14">
        <v>15900</v>
      </c>
      <c r="K14" s="310">
        <f t="shared" ref="K14:K21" si="3">F14/J14-1</f>
        <v>9.7484276729559838E-2</v>
      </c>
    </row>
    <row r="15" spans="1:11" ht="25.5" customHeight="1" x14ac:dyDescent="0.3">
      <c r="A15" s="396"/>
      <c r="B15" s="396"/>
      <c r="C15" s="404"/>
      <c r="D15" s="302">
        <v>2200</v>
      </c>
      <c r="E15" s="47">
        <v>0.2</v>
      </c>
      <c r="F15" s="46">
        <f>CEILING(F13*(1+E15), 50)</f>
        <v>19000</v>
      </c>
      <c r="G15" s="46">
        <f t="shared" si="0"/>
        <v>15200</v>
      </c>
      <c r="H15" s="313">
        <f t="shared" si="1"/>
        <v>11590</v>
      </c>
      <c r="I15" s="46">
        <f t="shared" si="2"/>
        <v>10431</v>
      </c>
      <c r="J15">
        <v>17350</v>
      </c>
      <c r="K15" s="310">
        <f t="shared" si="3"/>
        <v>9.5100864553314013E-2</v>
      </c>
    </row>
    <row r="16" spans="1:11" ht="25.5" customHeight="1" x14ac:dyDescent="0.3">
      <c r="A16" s="396"/>
      <c r="B16" s="396"/>
      <c r="C16" s="404"/>
      <c r="D16" s="302">
        <v>2300</v>
      </c>
      <c r="E16" s="47">
        <v>0.3</v>
      </c>
      <c r="F16" s="46">
        <f>CEILING(F13*(1+E16), 50)</f>
        <v>20600</v>
      </c>
      <c r="G16" s="46">
        <f t="shared" si="0"/>
        <v>16480</v>
      </c>
      <c r="H16" s="313">
        <f t="shared" si="1"/>
        <v>12566</v>
      </c>
      <c r="I16" s="46">
        <f t="shared" si="2"/>
        <v>11309.4</v>
      </c>
      <c r="J16">
        <v>18800</v>
      </c>
      <c r="K16" s="310">
        <f t="shared" si="3"/>
        <v>9.5744680851063801E-2</v>
      </c>
    </row>
    <row r="17" spans="1:15" ht="25.5" customHeight="1" x14ac:dyDescent="0.3">
      <c r="A17" s="396"/>
      <c r="B17" s="396"/>
      <c r="C17" s="404"/>
      <c r="D17" s="302">
        <v>2400</v>
      </c>
      <c r="E17" s="47">
        <v>0.4</v>
      </c>
      <c r="F17" s="46">
        <f>CEILING(F13*(1+E17), 50)</f>
        <v>22200</v>
      </c>
      <c r="G17" s="46">
        <f>F17*(1-$G$8)</f>
        <v>17760</v>
      </c>
      <c r="H17" s="313">
        <f t="shared" ref="H17" si="4">F17*0.61</f>
        <v>13542</v>
      </c>
      <c r="I17" s="46">
        <f t="shared" ref="I17" si="5">H17*(1-$I$8)</f>
        <v>12187.800000000001</v>
      </c>
      <c r="K17" s="310"/>
    </row>
    <row r="18" spans="1:15" s="49" customFormat="1" ht="27" customHeight="1" x14ac:dyDescent="0.3">
      <c r="A18" s="396"/>
      <c r="B18" s="396"/>
      <c r="C18" s="404">
        <v>900</v>
      </c>
      <c r="D18" s="50">
        <v>2000</v>
      </c>
      <c r="E18" s="50" t="s">
        <v>70</v>
      </c>
      <c r="F18" s="48">
        <f>CEILING(F13*(1+10%), 50)</f>
        <v>17450</v>
      </c>
      <c r="G18" s="48">
        <f t="shared" si="0"/>
        <v>13960</v>
      </c>
      <c r="H18" s="313">
        <f t="shared" si="1"/>
        <v>10644.5</v>
      </c>
      <c r="I18" s="48">
        <f t="shared" si="2"/>
        <v>9580.0500000000011</v>
      </c>
      <c r="J18" s="49">
        <v>15900</v>
      </c>
      <c r="K18" s="310">
        <f t="shared" si="3"/>
        <v>9.7484276729559838E-2</v>
      </c>
    </row>
    <row r="19" spans="1:15" ht="25.5" customHeight="1" x14ac:dyDescent="0.3">
      <c r="A19" s="396"/>
      <c r="B19" s="396"/>
      <c r="C19" s="404"/>
      <c r="D19" s="302">
        <v>2100</v>
      </c>
      <c r="E19" s="47">
        <v>0.1</v>
      </c>
      <c r="F19" s="46">
        <f>CEILING(F18*(1+E19), 50)</f>
        <v>19200</v>
      </c>
      <c r="G19" s="46">
        <f t="shared" si="0"/>
        <v>15360</v>
      </c>
      <c r="H19" s="313">
        <f t="shared" si="1"/>
        <v>11712</v>
      </c>
      <c r="I19" s="46">
        <f t="shared" si="2"/>
        <v>10540.800000000001</v>
      </c>
      <c r="J19">
        <v>17500</v>
      </c>
      <c r="K19" s="310">
        <f t="shared" si="3"/>
        <v>9.7142857142857197E-2</v>
      </c>
    </row>
    <row r="20" spans="1:15" ht="25.5" customHeight="1" x14ac:dyDescent="0.3">
      <c r="A20" s="396"/>
      <c r="B20" s="396"/>
      <c r="C20" s="404"/>
      <c r="D20" s="302">
        <v>2200</v>
      </c>
      <c r="E20" s="47">
        <v>0.2</v>
      </c>
      <c r="F20" s="46">
        <f>CEILING(F18*(1+E20), 50)</f>
        <v>20950</v>
      </c>
      <c r="G20" s="46">
        <f t="shared" si="0"/>
        <v>16760</v>
      </c>
      <c r="H20" s="313">
        <f t="shared" si="1"/>
        <v>12779.5</v>
      </c>
      <c r="I20" s="46">
        <f t="shared" si="2"/>
        <v>11501.550000000001</v>
      </c>
      <c r="J20">
        <v>19100</v>
      </c>
      <c r="K20" s="310">
        <f t="shared" si="3"/>
        <v>9.6858638743455572E-2</v>
      </c>
    </row>
    <row r="21" spans="1:15" ht="25.5" customHeight="1" x14ac:dyDescent="0.3">
      <c r="A21" s="396"/>
      <c r="B21" s="396"/>
      <c r="C21" s="404"/>
      <c r="D21" s="302">
        <v>2300</v>
      </c>
      <c r="E21" s="47">
        <v>0.3</v>
      </c>
      <c r="F21" s="46">
        <f>CEILING(F18*(1+E21), 50)</f>
        <v>22700</v>
      </c>
      <c r="G21" s="46">
        <f t="shared" si="0"/>
        <v>18160</v>
      </c>
      <c r="H21" s="313">
        <f t="shared" si="1"/>
        <v>13847</v>
      </c>
      <c r="I21" s="46">
        <f t="shared" si="2"/>
        <v>12462.300000000001</v>
      </c>
      <c r="J21">
        <v>20700</v>
      </c>
      <c r="K21" s="310">
        <f t="shared" si="3"/>
        <v>9.661835748792269E-2</v>
      </c>
    </row>
    <row r="22" spans="1:15" ht="25.5" customHeight="1" x14ac:dyDescent="0.3">
      <c r="A22" s="396"/>
      <c r="B22" s="396"/>
      <c r="C22" s="404"/>
      <c r="D22" s="302">
        <v>2400</v>
      </c>
      <c r="E22" s="47">
        <v>0.4</v>
      </c>
      <c r="F22" s="46">
        <f>CEILING(F18*(1+E22), 50)</f>
        <v>24450</v>
      </c>
      <c r="G22" s="46">
        <f t="shared" ref="G22" si="6">F22*(1-$G$8)</f>
        <v>19560</v>
      </c>
      <c r="H22" s="313">
        <f t="shared" ref="H22" si="7">F22*0.61</f>
        <v>14914.5</v>
      </c>
      <c r="I22" s="46">
        <f t="shared" ref="I22" si="8">H22*(1-$I$8)</f>
        <v>13423.050000000001</v>
      </c>
      <c r="K22" s="310"/>
    </row>
    <row r="23" spans="1:15" ht="15.6" customHeight="1" x14ac:dyDescent="0.3">
      <c r="A23" s="36"/>
      <c r="B23" s="36"/>
      <c r="C23" s="36"/>
      <c r="D23" s="36"/>
      <c r="E23" s="36"/>
      <c r="F23" s="36"/>
      <c r="G23" s="36"/>
    </row>
    <row r="24" spans="1:15" ht="15.6" customHeight="1" x14ac:dyDescent="0.3">
      <c r="A24" s="411" t="s">
        <v>193</v>
      </c>
      <c r="B24" s="411"/>
      <c r="C24" s="411"/>
      <c r="D24" s="411"/>
      <c r="E24" s="411"/>
      <c r="F24" s="411"/>
      <c r="G24" s="411"/>
    </row>
    <row r="25" spans="1:15" ht="15.6" customHeight="1" x14ac:dyDescent="0.3">
      <c r="A25" s="36"/>
      <c r="B25" s="36"/>
      <c r="C25" s="36"/>
      <c r="D25" s="36"/>
      <c r="E25" s="36"/>
      <c r="F25" s="36"/>
      <c r="G25" s="36"/>
    </row>
    <row r="26" spans="1:15" ht="15.6" customHeight="1" x14ac:dyDescent="0.3">
      <c r="A26" s="105" t="s">
        <v>142</v>
      </c>
      <c r="B26" s="36"/>
      <c r="C26" s="36"/>
      <c r="D26" s="36"/>
      <c r="E26" s="36"/>
      <c r="F26" s="36"/>
      <c r="G26" s="36"/>
    </row>
    <row r="27" spans="1:15" ht="15.6" customHeight="1" x14ac:dyDescent="0.3">
      <c r="A27" s="284" t="s">
        <v>361</v>
      </c>
      <c r="B27" s="36"/>
      <c r="C27" s="36"/>
      <c r="D27" s="36"/>
      <c r="E27" s="36"/>
      <c r="F27" s="36"/>
      <c r="G27" s="36"/>
    </row>
    <row r="28" spans="1:15" ht="15.6" customHeight="1" x14ac:dyDescent="0.3">
      <c r="A28" s="407" t="s">
        <v>138</v>
      </c>
      <c r="B28" s="407"/>
      <c r="C28" s="407"/>
      <c r="D28" s="407"/>
      <c r="E28" s="407"/>
      <c r="F28" s="407"/>
      <c r="G28" s="407"/>
    </row>
    <row r="29" spans="1:15" ht="15.6" customHeight="1" x14ac:dyDescent="0.3">
      <c r="A29" s="403" t="s">
        <v>84</v>
      </c>
      <c r="B29" s="403"/>
      <c r="C29" s="403" t="s">
        <v>68</v>
      </c>
      <c r="D29" s="403"/>
      <c r="E29" s="403"/>
      <c r="F29" s="403"/>
      <c r="G29" s="403"/>
    </row>
    <row r="30" spans="1:15" ht="24" customHeight="1" x14ac:dyDescent="0.3">
      <c r="A30" s="403"/>
      <c r="B30" s="403"/>
      <c r="C30" s="113" t="s">
        <v>65</v>
      </c>
      <c r="D30" s="113" t="s">
        <v>66</v>
      </c>
      <c r="E30" s="113" t="s">
        <v>166</v>
      </c>
      <c r="F30" s="306" t="s">
        <v>163</v>
      </c>
      <c r="G30" s="113" t="s">
        <v>88</v>
      </c>
    </row>
    <row r="31" spans="1:15" s="49" customFormat="1" ht="24" customHeight="1" x14ac:dyDescent="0.3">
      <c r="A31" s="396" t="s">
        <v>143</v>
      </c>
      <c r="B31" s="307" t="s">
        <v>137</v>
      </c>
      <c r="C31" s="404" t="s">
        <v>67</v>
      </c>
      <c r="D31" s="50">
        <v>2000</v>
      </c>
      <c r="E31" s="48">
        <f>Погонаж!G9*2.5+Погонаж!G16*5</f>
        <v>7450</v>
      </c>
      <c r="F31" s="48">
        <f t="shared" ref="F31:F39" si="9">F13+E31</f>
        <v>23280</v>
      </c>
      <c r="G31" s="48">
        <f t="shared" ref="G31:G39" si="10">G13+E31</f>
        <v>20114</v>
      </c>
      <c r="H31"/>
      <c r="I31"/>
      <c r="J31"/>
      <c r="K31"/>
      <c r="L31"/>
      <c r="M31"/>
      <c r="N31"/>
      <c r="O31"/>
    </row>
    <row r="32" spans="1:15" ht="24" customHeight="1" outlineLevel="1" x14ac:dyDescent="0.3">
      <c r="A32" s="396"/>
      <c r="B32" s="402" t="s">
        <v>85</v>
      </c>
      <c r="C32" s="404"/>
      <c r="D32" s="309">
        <v>2100</v>
      </c>
      <c r="E32" s="48">
        <f>Погонаж!G10*2.5+Погонаж!G17*5</f>
        <v>8200</v>
      </c>
      <c r="F32" s="48">
        <f t="shared" si="9"/>
        <v>25650</v>
      </c>
      <c r="G32" s="48">
        <f t="shared" si="10"/>
        <v>22160</v>
      </c>
    </row>
    <row r="33" spans="1:15" ht="24" customHeight="1" outlineLevel="1" x14ac:dyDescent="0.3">
      <c r="A33" s="396"/>
      <c r="B33" s="402"/>
      <c r="C33" s="404"/>
      <c r="D33" s="309">
        <v>2200</v>
      </c>
      <c r="E33" s="48">
        <f>E32</f>
        <v>8200</v>
      </c>
      <c r="F33" s="48">
        <f t="shared" si="9"/>
        <v>27200</v>
      </c>
      <c r="G33" s="48">
        <f t="shared" si="10"/>
        <v>23400</v>
      </c>
    </row>
    <row r="34" spans="1:15" ht="24" customHeight="1" outlineLevel="1" x14ac:dyDescent="0.3">
      <c r="A34" s="396"/>
      <c r="B34" s="307" t="s">
        <v>86</v>
      </c>
      <c r="C34" s="404"/>
      <c r="D34" s="309">
        <v>2300</v>
      </c>
      <c r="E34" s="48">
        <f>Погонаж!G10*2.5+Погонаж!G18*5</f>
        <v>9100</v>
      </c>
      <c r="F34" s="48">
        <f t="shared" si="9"/>
        <v>29700</v>
      </c>
      <c r="G34" s="48">
        <f t="shared" si="10"/>
        <v>25580</v>
      </c>
    </row>
    <row r="35" spans="1:15" s="49" customFormat="1" ht="24" customHeight="1" x14ac:dyDescent="0.3">
      <c r="A35" s="396"/>
      <c r="B35" s="307" t="s">
        <v>395</v>
      </c>
      <c r="C35" s="404"/>
      <c r="D35" s="309">
        <v>2400</v>
      </c>
      <c r="E35" s="48">
        <f>Погонаж!G11*2.5+Погонаж!G18*5</f>
        <v>9700</v>
      </c>
      <c r="F35" s="48">
        <f t="shared" si="9"/>
        <v>31900</v>
      </c>
      <c r="G35" s="48">
        <f t="shared" si="10"/>
        <v>27460</v>
      </c>
      <c r="H35"/>
      <c r="I35"/>
      <c r="J35"/>
      <c r="K35"/>
      <c r="L35"/>
      <c r="M35"/>
      <c r="N35"/>
      <c r="O35"/>
    </row>
    <row r="36" spans="1:15" ht="24" customHeight="1" outlineLevel="1" x14ac:dyDescent="0.3">
      <c r="A36" s="396"/>
      <c r="B36" s="307" t="s">
        <v>137</v>
      </c>
      <c r="C36" s="404">
        <v>900</v>
      </c>
      <c r="D36" s="50">
        <v>2000</v>
      </c>
      <c r="E36" s="48">
        <f>E31</f>
        <v>7450</v>
      </c>
      <c r="F36" s="48">
        <f t="shared" si="9"/>
        <v>24900</v>
      </c>
      <c r="G36" s="48">
        <f t="shared" si="10"/>
        <v>21410</v>
      </c>
    </row>
    <row r="37" spans="1:15" ht="24" customHeight="1" outlineLevel="1" x14ac:dyDescent="0.3">
      <c r="A37" s="396"/>
      <c r="B37" s="402" t="s">
        <v>85</v>
      </c>
      <c r="C37" s="404"/>
      <c r="D37" s="309">
        <v>2100</v>
      </c>
      <c r="E37" s="48">
        <f t="shared" ref="E37:E38" si="11">E32</f>
        <v>8200</v>
      </c>
      <c r="F37" s="48">
        <f t="shared" si="9"/>
        <v>27400</v>
      </c>
      <c r="G37" s="48">
        <f t="shared" si="10"/>
        <v>23560</v>
      </c>
    </row>
    <row r="38" spans="1:15" ht="24" customHeight="1" outlineLevel="1" x14ac:dyDescent="0.3">
      <c r="A38" s="396"/>
      <c r="B38" s="402"/>
      <c r="C38" s="404"/>
      <c r="D38" s="309">
        <v>2200</v>
      </c>
      <c r="E38" s="48">
        <f t="shared" si="11"/>
        <v>8200</v>
      </c>
      <c r="F38" s="48">
        <f t="shared" si="9"/>
        <v>29150</v>
      </c>
      <c r="G38" s="48">
        <f t="shared" si="10"/>
        <v>24960</v>
      </c>
    </row>
    <row r="39" spans="1:15" ht="24" customHeight="1" x14ac:dyDescent="0.3">
      <c r="A39" s="396"/>
      <c r="B39" s="307" t="s">
        <v>86</v>
      </c>
      <c r="C39" s="404"/>
      <c r="D39" s="309">
        <v>2300</v>
      </c>
      <c r="E39" s="48">
        <f>E34</f>
        <v>9100</v>
      </c>
      <c r="F39" s="48">
        <f t="shared" si="9"/>
        <v>31800</v>
      </c>
      <c r="G39" s="48">
        <f t="shared" si="10"/>
        <v>27260</v>
      </c>
    </row>
    <row r="40" spans="1:15" ht="24" customHeight="1" x14ac:dyDescent="0.3">
      <c r="A40" s="396"/>
      <c r="B40" s="307" t="s">
        <v>395</v>
      </c>
      <c r="C40" s="404"/>
      <c r="D40" s="309">
        <v>2400</v>
      </c>
      <c r="E40" s="48">
        <f>E35</f>
        <v>9700</v>
      </c>
      <c r="F40" s="48">
        <f>F22+E35</f>
        <v>34150</v>
      </c>
      <c r="G40" s="48">
        <f>G22+E35</f>
        <v>29260</v>
      </c>
    </row>
    <row r="41" spans="1:15" ht="15.6" customHeight="1" x14ac:dyDescent="0.3">
      <c r="A41" s="412"/>
      <c r="B41" s="412"/>
      <c r="C41" s="215"/>
      <c r="D41" s="305"/>
      <c r="E41" s="413"/>
      <c r="F41" s="413"/>
      <c r="G41" s="413"/>
    </row>
    <row r="42" spans="1:15" ht="24" customHeight="1" x14ac:dyDescent="0.3">
      <c r="A42" s="407" t="s">
        <v>164</v>
      </c>
      <c r="B42" s="407"/>
      <c r="C42" s="407"/>
      <c r="D42" s="407"/>
      <c r="E42" s="407"/>
      <c r="F42" s="407"/>
      <c r="G42" s="407"/>
    </row>
    <row r="43" spans="1:15" s="49" customFormat="1" ht="24" customHeight="1" x14ac:dyDescent="0.3">
      <c r="A43" s="403" t="s">
        <v>139</v>
      </c>
      <c r="B43" s="403"/>
      <c r="C43" s="403" t="s">
        <v>68</v>
      </c>
      <c r="D43" s="403"/>
      <c r="E43" s="403"/>
      <c r="F43" s="403"/>
      <c r="G43" s="403"/>
      <c r="H43"/>
      <c r="I43"/>
      <c r="J43"/>
      <c r="K43"/>
      <c r="L43"/>
      <c r="M43"/>
      <c r="N43"/>
      <c r="O43"/>
    </row>
    <row r="44" spans="1:15" ht="24" customHeight="1" outlineLevel="1" x14ac:dyDescent="0.3">
      <c r="A44" s="403"/>
      <c r="B44" s="403"/>
      <c r="C44" s="113" t="s">
        <v>65</v>
      </c>
      <c r="D44" s="113" t="s">
        <v>66</v>
      </c>
      <c r="E44" s="113" t="s">
        <v>166</v>
      </c>
      <c r="F44" s="306" t="s">
        <v>87</v>
      </c>
      <c r="G44" s="113" t="s">
        <v>88</v>
      </c>
    </row>
    <row r="45" spans="1:15" ht="24" customHeight="1" outlineLevel="1" x14ac:dyDescent="0.3">
      <c r="A45" s="396" t="s">
        <v>143</v>
      </c>
      <c r="B45" s="307" t="s">
        <v>137</v>
      </c>
      <c r="C45" s="404" t="s">
        <v>67</v>
      </c>
      <c r="D45" s="50">
        <v>2000</v>
      </c>
      <c r="E45" s="123">
        <f>E31+Погонаж!G29*2.5</f>
        <v>9800</v>
      </c>
      <c r="F45" s="48">
        <f t="shared" ref="F45:F54" si="12">F13+E45</f>
        <v>25630</v>
      </c>
      <c r="G45" s="48">
        <f t="shared" ref="G45:G54" si="13">G13+E45</f>
        <v>22464</v>
      </c>
    </row>
    <row r="46" spans="1:15" ht="24" customHeight="1" outlineLevel="1" x14ac:dyDescent="0.3">
      <c r="A46" s="396"/>
      <c r="B46" s="402" t="s">
        <v>85</v>
      </c>
      <c r="C46" s="404"/>
      <c r="D46" s="309">
        <v>2100</v>
      </c>
      <c r="E46" s="123">
        <f>E32+Погонаж!G30*2.5</f>
        <v>10800</v>
      </c>
      <c r="F46" s="48">
        <f t="shared" si="12"/>
        <v>28250</v>
      </c>
      <c r="G46" s="48">
        <f t="shared" si="13"/>
        <v>24760</v>
      </c>
    </row>
    <row r="47" spans="1:15" s="49" customFormat="1" ht="24" customHeight="1" x14ac:dyDescent="0.3">
      <c r="A47" s="396"/>
      <c r="B47" s="402"/>
      <c r="C47" s="404"/>
      <c r="D47" s="309">
        <v>2200</v>
      </c>
      <c r="E47" s="123">
        <f>E46</f>
        <v>10800</v>
      </c>
      <c r="F47" s="48">
        <f t="shared" si="12"/>
        <v>29800</v>
      </c>
      <c r="G47" s="48">
        <f t="shared" si="13"/>
        <v>26000</v>
      </c>
      <c r="H47"/>
      <c r="I47"/>
      <c r="J47"/>
      <c r="K47"/>
      <c r="L47"/>
      <c r="M47"/>
      <c r="N47"/>
      <c r="O47"/>
    </row>
    <row r="48" spans="1:15" ht="24" customHeight="1" outlineLevel="1" x14ac:dyDescent="0.3">
      <c r="A48" s="396"/>
      <c r="B48" s="307" t="s">
        <v>86</v>
      </c>
      <c r="C48" s="404"/>
      <c r="D48" s="309">
        <v>2300</v>
      </c>
      <c r="E48" s="123">
        <f>E34+Погонаж!G30*2.5</f>
        <v>11700</v>
      </c>
      <c r="F48" s="48">
        <f t="shared" si="12"/>
        <v>32300</v>
      </c>
      <c r="G48" s="48">
        <f t="shared" si="13"/>
        <v>28180</v>
      </c>
    </row>
    <row r="49" spans="1:7" ht="24" customHeight="1" outlineLevel="1" x14ac:dyDescent="0.3">
      <c r="A49" s="396"/>
      <c r="B49" s="307" t="s">
        <v>395</v>
      </c>
      <c r="C49" s="404"/>
      <c r="D49" s="309">
        <v>2400</v>
      </c>
      <c r="E49" s="123">
        <f>E35+Погонаж!G31*2.5</f>
        <v>12775</v>
      </c>
      <c r="F49" s="48">
        <f t="shared" si="12"/>
        <v>34975</v>
      </c>
      <c r="G49" s="48">
        <f t="shared" si="13"/>
        <v>30535</v>
      </c>
    </row>
    <row r="50" spans="1:7" ht="24" customHeight="1" outlineLevel="1" x14ac:dyDescent="0.3">
      <c r="A50" s="396"/>
      <c r="B50" s="307" t="s">
        <v>137</v>
      </c>
      <c r="C50" s="404">
        <v>900</v>
      </c>
      <c r="D50" s="50">
        <v>2000</v>
      </c>
      <c r="E50" s="123">
        <f>E45</f>
        <v>9800</v>
      </c>
      <c r="F50" s="48">
        <f t="shared" si="12"/>
        <v>27250</v>
      </c>
      <c r="G50" s="48">
        <f t="shared" si="13"/>
        <v>23760</v>
      </c>
    </row>
    <row r="51" spans="1:7" ht="24" customHeight="1" x14ac:dyDescent="0.3">
      <c r="A51" s="396"/>
      <c r="B51" s="402" t="s">
        <v>85</v>
      </c>
      <c r="C51" s="404"/>
      <c r="D51" s="309">
        <v>2100</v>
      </c>
      <c r="E51" s="123">
        <f t="shared" ref="E51:E52" si="14">E46</f>
        <v>10800</v>
      </c>
      <c r="F51" s="48">
        <f t="shared" si="12"/>
        <v>30000</v>
      </c>
      <c r="G51" s="48">
        <f t="shared" si="13"/>
        <v>26160</v>
      </c>
    </row>
    <row r="52" spans="1:7" ht="24" customHeight="1" x14ac:dyDescent="0.3">
      <c r="A52" s="396"/>
      <c r="B52" s="402"/>
      <c r="C52" s="404"/>
      <c r="D52" s="309">
        <v>2200</v>
      </c>
      <c r="E52" s="123">
        <f t="shared" si="14"/>
        <v>10800</v>
      </c>
      <c r="F52" s="48">
        <f t="shared" si="12"/>
        <v>31750</v>
      </c>
      <c r="G52" s="48">
        <f t="shared" si="13"/>
        <v>27560</v>
      </c>
    </row>
    <row r="53" spans="1:7" ht="24" customHeight="1" x14ac:dyDescent="0.3">
      <c r="A53" s="396"/>
      <c r="B53" s="307" t="s">
        <v>86</v>
      </c>
      <c r="C53" s="404"/>
      <c r="D53" s="309">
        <v>2300</v>
      </c>
      <c r="E53" s="123">
        <f>E48</f>
        <v>11700</v>
      </c>
      <c r="F53" s="48">
        <f t="shared" si="12"/>
        <v>34400</v>
      </c>
      <c r="G53" s="48">
        <f t="shared" si="13"/>
        <v>29860</v>
      </c>
    </row>
    <row r="54" spans="1:7" ht="24" customHeight="1" x14ac:dyDescent="0.3">
      <c r="A54" s="396"/>
      <c r="B54" s="307" t="s">
        <v>395</v>
      </c>
      <c r="C54" s="404"/>
      <c r="D54" s="309">
        <v>2400</v>
      </c>
      <c r="E54" s="123">
        <f>E49</f>
        <v>12775</v>
      </c>
      <c r="F54" s="48">
        <f t="shared" si="12"/>
        <v>37225</v>
      </c>
      <c r="G54" s="48">
        <f t="shared" si="13"/>
        <v>32335</v>
      </c>
    </row>
    <row r="100" spans="1:7" ht="15" customHeight="1" x14ac:dyDescent="0.3"/>
    <row r="101" spans="1:7" x14ac:dyDescent="0.3">
      <c r="A101" s="39"/>
      <c r="B101" s="39"/>
    </row>
    <row r="102" spans="1:7" x14ac:dyDescent="0.3">
      <c r="B102" s="39"/>
      <c r="C102" s="40"/>
      <c r="D102" s="40"/>
      <c r="E102" s="40"/>
      <c r="F102" s="40"/>
      <c r="G102" s="40"/>
    </row>
    <row r="103" spans="1:7" x14ac:dyDescent="0.3">
      <c r="A103" s="39"/>
      <c r="B103" s="39"/>
    </row>
    <row r="104" spans="1:7" x14ac:dyDescent="0.3">
      <c r="A104" s="39"/>
      <c r="B104" s="39"/>
    </row>
    <row r="105" spans="1:7" x14ac:dyDescent="0.3">
      <c r="A105" s="39"/>
      <c r="B105" s="39"/>
    </row>
    <row r="106" spans="1:7" x14ac:dyDescent="0.3">
      <c r="A106" s="39"/>
      <c r="B106" s="39"/>
    </row>
    <row r="107" spans="1:7" x14ac:dyDescent="0.3">
      <c r="A107" s="39"/>
      <c r="B107" s="39"/>
    </row>
    <row r="108" spans="1:7" x14ac:dyDescent="0.3">
      <c r="A108" s="39"/>
      <c r="B108" s="39"/>
    </row>
    <row r="109" spans="1:7" x14ac:dyDescent="0.3">
      <c r="A109" s="39"/>
      <c r="B109" s="39"/>
    </row>
    <row r="110" spans="1:7" x14ac:dyDescent="0.3">
      <c r="A110" s="39"/>
      <c r="B110" s="39"/>
    </row>
    <row r="111" spans="1:7" x14ac:dyDescent="0.3">
      <c r="A111" s="39"/>
      <c r="B111" s="39"/>
    </row>
    <row r="112" spans="1:7" x14ac:dyDescent="0.3">
      <c r="A112" s="39"/>
      <c r="B112" s="39"/>
    </row>
    <row r="113" spans="1:2" x14ac:dyDescent="0.3">
      <c r="A113" s="39"/>
      <c r="B113" s="39"/>
    </row>
    <row r="114" spans="1:2" x14ac:dyDescent="0.3">
      <c r="A114" s="39"/>
      <c r="B114" s="39"/>
    </row>
    <row r="115" spans="1:2" x14ac:dyDescent="0.3">
      <c r="A115" s="39"/>
      <c r="B115" s="39"/>
    </row>
    <row r="116" spans="1:2" x14ac:dyDescent="0.3">
      <c r="A116" s="39"/>
      <c r="B116" s="39"/>
    </row>
    <row r="117" spans="1:2" x14ac:dyDescent="0.3">
      <c r="A117" s="39"/>
      <c r="B117" s="39"/>
    </row>
    <row r="118" spans="1:2" x14ac:dyDescent="0.3">
      <c r="A118" s="39"/>
      <c r="B118" s="39"/>
    </row>
    <row r="119" spans="1:2" x14ac:dyDescent="0.3">
      <c r="A119" s="39"/>
      <c r="B119" s="39"/>
    </row>
    <row r="120" spans="1:2" x14ac:dyDescent="0.3">
      <c r="A120" s="39"/>
      <c r="B120" s="39"/>
    </row>
    <row r="121" spans="1:2" x14ac:dyDescent="0.3">
      <c r="A121" s="39"/>
      <c r="B121" s="39"/>
    </row>
    <row r="122" spans="1:2" x14ac:dyDescent="0.3">
      <c r="A122" s="39"/>
      <c r="B122" s="39"/>
    </row>
    <row r="123" spans="1:2" x14ac:dyDescent="0.3">
      <c r="A123" s="39"/>
      <c r="B123" s="39"/>
    </row>
    <row r="124" spans="1:2" x14ac:dyDescent="0.3">
      <c r="A124" s="39"/>
      <c r="B124" s="39"/>
    </row>
  </sheetData>
  <mergeCells count="27">
    <mergeCell ref="A42:G42"/>
    <mergeCell ref="A43:B44"/>
    <mergeCell ref="C43:G43"/>
    <mergeCell ref="A45:A54"/>
    <mergeCell ref="C45:C49"/>
    <mergeCell ref="B46:B47"/>
    <mergeCell ref="C50:C54"/>
    <mergeCell ref="B51:B52"/>
    <mergeCell ref="A3:G3"/>
    <mergeCell ref="A4:G4"/>
    <mergeCell ref="A10:G10"/>
    <mergeCell ref="A11:B12"/>
    <mergeCell ref="C11:F11"/>
    <mergeCell ref="A28:G28"/>
    <mergeCell ref="A29:B30"/>
    <mergeCell ref="C29:G29"/>
    <mergeCell ref="A24:G24"/>
    <mergeCell ref="C13:C17"/>
    <mergeCell ref="A13:B22"/>
    <mergeCell ref="C18:C22"/>
    <mergeCell ref="A41:B41"/>
    <mergeCell ref="E41:G41"/>
    <mergeCell ref="B32:B33"/>
    <mergeCell ref="A31:A40"/>
    <mergeCell ref="C31:C35"/>
    <mergeCell ref="C36:C40"/>
    <mergeCell ref="B37:B38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orientation="portrait" r:id="rId1"/>
  <rowBreaks count="1" manualBreakCount="1">
    <brk id="25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1"/>
  <sheetViews>
    <sheetView tabSelected="1" view="pageBreakPreview" topLeftCell="A58" zoomScaleNormal="100" zoomScaleSheetLayoutView="100" workbookViewId="0">
      <selection activeCell="E80" sqref="E80"/>
    </sheetView>
  </sheetViews>
  <sheetFormatPr defaultRowHeight="14.4" outlineLevelRow="1" outlineLevelCol="1" x14ac:dyDescent="0.3"/>
  <cols>
    <col min="1" max="1" width="11.6640625" customWidth="1"/>
    <col min="2" max="2" width="24" bestFit="1" customWidth="1"/>
    <col min="3" max="7" width="12.6640625" customWidth="1"/>
    <col min="8" max="8" width="9.109375" hidden="1" customWidth="1" outlineLevel="1"/>
    <col min="9" max="9" width="11.44140625" hidden="1" customWidth="1" outlineLevel="1"/>
    <col min="10" max="10" width="9.5546875" hidden="1" customWidth="1"/>
    <col min="11" max="11" width="0" hidden="1" customWidth="1"/>
    <col min="12" max="12" width="9.5546875" hidden="1" customWidth="1"/>
    <col min="13" max="18" width="0" hidden="1" customWidth="1"/>
  </cols>
  <sheetData>
    <row r="1" spans="1:11" s="58" customFormat="1" ht="18.75" customHeight="1" x14ac:dyDescent="0.3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 x14ac:dyDescent="0.3">
      <c r="A2" s="91"/>
      <c r="B2" s="57"/>
      <c r="C2" s="57"/>
      <c r="D2" s="57"/>
      <c r="E2" s="57"/>
      <c r="F2"/>
      <c r="G2"/>
    </row>
    <row r="3" spans="1:11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1" ht="17.399999999999999" x14ac:dyDescent="0.3">
      <c r="A4" s="397" t="s">
        <v>57</v>
      </c>
      <c r="B4" s="397"/>
      <c r="C4" s="397"/>
      <c r="D4" s="397"/>
      <c r="E4" s="397"/>
      <c r="F4" s="397"/>
      <c r="G4" s="397"/>
    </row>
    <row r="5" spans="1:11" ht="9" customHeight="1" x14ac:dyDescent="0.3">
      <c r="A5" s="33"/>
      <c r="B5" s="33"/>
      <c r="C5" s="33"/>
      <c r="D5" s="33"/>
      <c r="E5" s="33"/>
      <c r="F5" s="33"/>
      <c r="G5" s="33"/>
    </row>
    <row r="6" spans="1:11" ht="9" customHeight="1" x14ac:dyDescent="0.3">
      <c r="A6" s="33"/>
      <c r="B6" s="33"/>
      <c r="C6" s="33"/>
      <c r="D6" s="33"/>
      <c r="E6" s="33"/>
      <c r="F6" s="33"/>
      <c r="G6" s="33"/>
    </row>
    <row r="7" spans="1:11" ht="144" customHeight="1" x14ac:dyDescent="0.3">
      <c r="C7" s="1"/>
      <c r="D7" s="1"/>
      <c r="E7" s="1"/>
      <c r="F7" s="1"/>
      <c r="G7" s="1"/>
    </row>
    <row r="8" spans="1:11" ht="20.25" customHeight="1" x14ac:dyDescent="0.3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 x14ac:dyDescent="0.3">
      <c r="A9" s="36"/>
      <c r="B9" s="36"/>
      <c r="C9" s="36"/>
      <c r="D9" s="36"/>
      <c r="E9" s="36"/>
      <c r="F9" s="36"/>
      <c r="G9" s="36"/>
    </row>
    <row r="10" spans="1:11" ht="15.6" customHeight="1" x14ac:dyDescent="0.3">
      <c r="A10" s="408" t="s">
        <v>136</v>
      </c>
      <c r="B10" s="409"/>
      <c r="C10" s="409"/>
      <c r="D10" s="409"/>
      <c r="E10" s="409"/>
      <c r="F10" s="409"/>
      <c r="G10" s="410"/>
    </row>
    <row r="11" spans="1:11" ht="15.6" customHeight="1" x14ac:dyDescent="0.3">
      <c r="A11" s="403" t="s">
        <v>83</v>
      </c>
      <c r="B11" s="403"/>
      <c r="C11" s="405" t="s">
        <v>68</v>
      </c>
      <c r="D11" s="406"/>
      <c r="E11" s="406"/>
      <c r="F11" s="406"/>
      <c r="G11" s="126"/>
    </row>
    <row r="12" spans="1:11" x14ac:dyDescent="0.3">
      <c r="A12" s="403"/>
      <c r="B12" s="403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 x14ac:dyDescent="0.3">
      <c r="A13" s="396" t="s">
        <v>51</v>
      </c>
      <c r="B13" s="396"/>
      <c r="C13" s="404" t="s">
        <v>67</v>
      </c>
      <c r="D13" s="50">
        <v>2000</v>
      </c>
      <c r="E13" s="50" t="s">
        <v>70</v>
      </c>
      <c r="F13" s="48">
        <f>база!D16</f>
        <v>15280</v>
      </c>
      <c r="G13" s="48">
        <f>F13*(1-$G$8)</f>
        <v>12224</v>
      </c>
      <c r="H13" s="48">
        <f>F13*0.61</f>
        <v>9320.7999999999993</v>
      </c>
      <c r="I13" s="48">
        <f>H13*(1-$I$8)</f>
        <v>8388.7199999999993</v>
      </c>
      <c r="J13" s="157">
        <v>13950</v>
      </c>
      <c r="K13" s="310">
        <f>F13/J13-1</f>
        <v>9.5340501792114729E-2</v>
      </c>
    </row>
    <row r="14" spans="1:11" ht="25.5" customHeight="1" outlineLevel="1" x14ac:dyDescent="0.3">
      <c r="A14" s="396"/>
      <c r="B14" s="396"/>
      <c r="C14" s="404"/>
      <c r="D14" s="309">
        <v>2100</v>
      </c>
      <c r="E14" s="47">
        <v>0.1</v>
      </c>
      <c r="F14" s="46">
        <f>CEILING(F13*(1+E14), 50)</f>
        <v>16850</v>
      </c>
      <c r="G14" s="46">
        <f t="shared" ref="G14:G21" si="0">F14*(1-$G$8)</f>
        <v>13480</v>
      </c>
      <c r="H14" s="48">
        <f t="shared" ref="H14:H21" si="1">F14*0.61</f>
        <v>10278.5</v>
      </c>
      <c r="I14" s="46">
        <f t="shared" ref="I14:I21" si="2">H14*(1-$I$8)</f>
        <v>9250.65</v>
      </c>
      <c r="J14">
        <v>15350</v>
      </c>
      <c r="K14" s="310">
        <f t="shared" ref="K14:K21" si="3">F14/J14-1</f>
        <v>9.7719869706840434E-2</v>
      </c>
    </row>
    <row r="15" spans="1:11" ht="25.5" customHeight="1" outlineLevel="1" x14ac:dyDescent="0.3">
      <c r="A15" s="396"/>
      <c r="B15" s="396"/>
      <c r="C15" s="404"/>
      <c r="D15" s="309">
        <v>2200</v>
      </c>
      <c r="E15" s="47">
        <v>0.2</v>
      </c>
      <c r="F15" s="46">
        <f>CEILING(F13*(1+E15), 50)</f>
        <v>18350</v>
      </c>
      <c r="G15" s="46">
        <f t="shared" si="0"/>
        <v>14680</v>
      </c>
      <c r="H15" s="48">
        <f t="shared" si="1"/>
        <v>11193.5</v>
      </c>
      <c r="I15" s="46">
        <f t="shared" si="2"/>
        <v>10074.15</v>
      </c>
      <c r="J15">
        <v>16750</v>
      </c>
      <c r="K15" s="310">
        <f t="shared" si="3"/>
        <v>9.5522388059701591E-2</v>
      </c>
    </row>
    <row r="16" spans="1:11" ht="25.5" customHeight="1" outlineLevel="1" x14ac:dyDescent="0.3">
      <c r="A16" s="396"/>
      <c r="B16" s="396"/>
      <c r="C16" s="404"/>
      <c r="D16" s="309">
        <v>2300</v>
      </c>
      <c r="E16" s="47">
        <v>0.3</v>
      </c>
      <c r="F16" s="46">
        <f>CEILING(F13*(1+E16), 50)</f>
        <v>19900</v>
      </c>
      <c r="G16" s="46">
        <f t="shared" si="0"/>
        <v>15920</v>
      </c>
      <c r="H16" s="48">
        <f t="shared" si="1"/>
        <v>12139</v>
      </c>
      <c r="I16" s="46">
        <f t="shared" si="2"/>
        <v>10925.1</v>
      </c>
      <c r="J16">
        <v>18150</v>
      </c>
      <c r="K16" s="310">
        <f t="shared" si="3"/>
        <v>9.6418732782369121E-2</v>
      </c>
    </row>
    <row r="17" spans="1:17" ht="25.5" customHeight="1" outlineLevel="1" x14ac:dyDescent="0.3">
      <c r="A17" s="396"/>
      <c r="B17" s="396"/>
      <c r="C17" s="404"/>
      <c r="D17" s="309">
        <v>2400</v>
      </c>
      <c r="E17" s="47">
        <v>0.4</v>
      </c>
      <c r="F17" s="46">
        <f>CEILING(F13*(1+E17), 50)</f>
        <v>21400</v>
      </c>
      <c r="G17" s="46">
        <f t="shared" ref="G17" si="4">F17*(1-$G$8)</f>
        <v>17120</v>
      </c>
      <c r="H17" s="48">
        <f t="shared" ref="H17" si="5">F17*0.61</f>
        <v>13054</v>
      </c>
      <c r="I17" s="46">
        <f t="shared" ref="I17" si="6">H17*(1-$I$8)</f>
        <v>11748.6</v>
      </c>
      <c r="K17" s="310"/>
    </row>
    <row r="18" spans="1:17" s="49" customFormat="1" ht="27" customHeight="1" x14ac:dyDescent="0.3">
      <c r="A18" s="396"/>
      <c r="B18" s="396"/>
      <c r="C18" s="404">
        <v>900</v>
      </c>
      <c r="D18" s="50">
        <v>2000</v>
      </c>
      <c r="E18" s="50" t="s">
        <v>70</v>
      </c>
      <c r="F18" s="48">
        <f>CEILING(F13*(1+10%), 50)</f>
        <v>16850</v>
      </c>
      <c r="G18" s="48">
        <f t="shared" si="0"/>
        <v>13480</v>
      </c>
      <c r="H18" s="48">
        <f t="shared" si="1"/>
        <v>10278.5</v>
      </c>
      <c r="I18" s="48">
        <f t="shared" si="2"/>
        <v>9250.65</v>
      </c>
      <c r="J18" s="49">
        <v>15350</v>
      </c>
      <c r="K18" s="310">
        <f t="shared" si="3"/>
        <v>9.7719869706840434E-2</v>
      </c>
    </row>
    <row r="19" spans="1:17" ht="25.5" customHeight="1" outlineLevel="1" x14ac:dyDescent="0.3">
      <c r="A19" s="396"/>
      <c r="B19" s="396"/>
      <c r="C19" s="404"/>
      <c r="D19" s="309">
        <v>2100</v>
      </c>
      <c r="E19" s="47">
        <v>0.1</v>
      </c>
      <c r="F19" s="46">
        <f>CEILING(F18*(1+E19), 50)</f>
        <v>18550</v>
      </c>
      <c r="G19" s="46">
        <f t="shared" si="0"/>
        <v>14840</v>
      </c>
      <c r="H19" s="48">
        <f t="shared" si="1"/>
        <v>11315.5</v>
      </c>
      <c r="I19" s="46">
        <f t="shared" si="2"/>
        <v>10183.950000000001</v>
      </c>
      <c r="J19">
        <v>16900</v>
      </c>
      <c r="K19" s="310">
        <f t="shared" si="3"/>
        <v>9.76331360946745E-2</v>
      </c>
    </row>
    <row r="20" spans="1:17" ht="25.5" customHeight="1" outlineLevel="1" x14ac:dyDescent="0.3">
      <c r="A20" s="396"/>
      <c r="B20" s="396"/>
      <c r="C20" s="404"/>
      <c r="D20" s="309">
        <v>2200</v>
      </c>
      <c r="E20" s="47">
        <v>0.2</v>
      </c>
      <c r="F20" s="46">
        <f>CEILING(F18*(1+E20), 50)</f>
        <v>20250</v>
      </c>
      <c r="G20" s="46">
        <f t="shared" si="0"/>
        <v>16200</v>
      </c>
      <c r="H20" s="48">
        <f t="shared" si="1"/>
        <v>12352.5</v>
      </c>
      <c r="I20" s="46">
        <f t="shared" si="2"/>
        <v>11117.25</v>
      </c>
      <c r="J20">
        <v>18450</v>
      </c>
      <c r="K20" s="310">
        <f t="shared" si="3"/>
        <v>9.7560975609756184E-2</v>
      </c>
    </row>
    <row r="21" spans="1:17" ht="25.5" customHeight="1" outlineLevel="1" x14ac:dyDescent="0.3">
      <c r="A21" s="396"/>
      <c r="B21" s="396"/>
      <c r="C21" s="404"/>
      <c r="D21" s="309">
        <v>2300</v>
      </c>
      <c r="E21" s="47">
        <v>0.3</v>
      </c>
      <c r="F21" s="46">
        <f>CEILING(F18*(1+E21), 50)</f>
        <v>21950</v>
      </c>
      <c r="G21" s="46">
        <f t="shared" si="0"/>
        <v>17560</v>
      </c>
      <c r="H21" s="48">
        <f t="shared" si="1"/>
        <v>13389.5</v>
      </c>
      <c r="I21" s="46">
        <f t="shared" si="2"/>
        <v>12050.550000000001</v>
      </c>
      <c r="J21">
        <v>20000</v>
      </c>
      <c r="K21" s="310">
        <f t="shared" si="3"/>
        <v>9.749999999999992E-2</v>
      </c>
    </row>
    <row r="22" spans="1:17" ht="25.5" customHeight="1" outlineLevel="1" x14ac:dyDescent="0.3">
      <c r="A22" s="396"/>
      <c r="B22" s="396"/>
      <c r="C22" s="404"/>
      <c r="D22" s="309">
        <v>2400</v>
      </c>
      <c r="E22" s="47">
        <v>0.4</v>
      </c>
      <c r="F22" s="46">
        <f>CEILING(F18*(1+E22), 50)</f>
        <v>23600</v>
      </c>
      <c r="G22" s="46">
        <f>F22*(1-$G$8)</f>
        <v>18880</v>
      </c>
      <c r="H22" s="73"/>
      <c r="I22" s="74"/>
      <c r="K22" s="310"/>
    </row>
    <row r="23" spans="1:17" ht="15.6" customHeight="1" x14ac:dyDescent="0.3">
      <c r="A23" s="36"/>
      <c r="B23" s="36"/>
      <c r="C23" s="36"/>
      <c r="D23" s="36"/>
      <c r="E23" s="36"/>
      <c r="F23" s="36"/>
      <c r="G23" s="36"/>
    </row>
    <row r="24" spans="1:17" ht="15.6" customHeight="1" x14ac:dyDescent="0.3">
      <c r="A24" s="411" t="s">
        <v>193</v>
      </c>
      <c r="B24" s="411"/>
      <c r="C24" s="411"/>
      <c r="D24" s="411"/>
      <c r="E24" s="411"/>
      <c r="F24" s="411"/>
      <c r="G24" s="411"/>
    </row>
    <row r="25" spans="1:17" s="154" customFormat="1" ht="24.75" customHeight="1" x14ac:dyDescent="0.3">
      <c r="A25" s="434" t="s">
        <v>362</v>
      </c>
      <c r="B25" s="434"/>
      <c r="C25" s="434"/>
      <c r="D25" s="434"/>
      <c r="E25" s="434"/>
      <c r="F25" s="434"/>
      <c r="G25" s="434"/>
    </row>
    <row r="26" spans="1:17" ht="15.6" customHeight="1" x14ac:dyDescent="0.3">
      <c r="A26" s="155"/>
      <c r="B26" s="155"/>
      <c r="C26" s="155"/>
      <c r="D26" s="155"/>
      <c r="E26" s="155"/>
      <c r="F26" s="155"/>
      <c r="G26" s="155"/>
      <c r="H26" s="109"/>
      <c r="I26" s="109"/>
    </row>
    <row r="27" spans="1:17" ht="15.6" customHeight="1" x14ac:dyDescent="0.3">
      <c r="A27" s="408" t="s">
        <v>194</v>
      </c>
      <c r="B27" s="409"/>
      <c r="C27" s="409"/>
      <c r="D27" s="409"/>
      <c r="E27" s="409">
        <v>1.1000000000000001</v>
      </c>
      <c r="F27" s="409">
        <v>1.2</v>
      </c>
      <c r="G27" s="410">
        <v>1.45</v>
      </c>
    </row>
    <row r="28" spans="1:17" ht="15.6" customHeight="1" x14ac:dyDescent="0.3">
      <c r="A28" s="436" t="s">
        <v>175</v>
      </c>
      <c r="B28" s="436"/>
      <c r="C28" s="120"/>
      <c r="D28" s="437" t="s">
        <v>144</v>
      </c>
      <c r="E28" s="437"/>
      <c r="F28" s="437"/>
      <c r="G28" s="437"/>
      <c r="H28" s="107"/>
      <c r="I28" s="107"/>
    </row>
    <row r="29" spans="1:17" ht="48" customHeight="1" x14ac:dyDescent="0.3">
      <c r="A29" s="436"/>
      <c r="B29" s="436"/>
      <c r="C29" s="111" t="s">
        <v>66</v>
      </c>
      <c r="D29" s="133" t="s">
        <v>145</v>
      </c>
      <c r="E29" s="133" t="s">
        <v>146</v>
      </c>
      <c r="F29" s="133" t="s">
        <v>415</v>
      </c>
      <c r="G29" s="133" t="s">
        <v>147</v>
      </c>
      <c r="H29" s="107"/>
      <c r="I29" s="107"/>
    </row>
    <row r="30" spans="1:17" ht="15.6" customHeight="1" x14ac:dyDescent="0.3">
      <c r="A30" s="428" t="s">
        <v>148</v>
      </c>
      <c r="B30" s="429"/>
      <c r="C30" s="50">
        <v>2000</v>
      </c>
      <c r="D30" s="48">
        <v>2600</v>
      </c>
      <c r="E30" s="48">
        <f>D30+500</f>
        <v>3100</v>
      </c>
      <c r="F30" s="48">
        <f>E30+1050</f>
        <v>4150</v>
      </c>
      <c r="G30" s="48">
        <f>F30+1050</f>
        <v>5200</v>
      </c>
      <c r="H30" s="107"/>
      <c r="I30" s="107"/>
      <c r="J30" s="46">
        <v>2500</v>
      </c>
      <c r="K30" s="46">
        <f>J30+500</f>
        <v>3000</v>
      </c>
      <c r="L30" s="46">
        <f>K30+1000</f>
        <v>4000</v>
      </c>
      <c r="M30" s="46">
        <f>L30+1000</f>
        <v>5000</v>
      </c>
      <c r="N30" s="311">
        <f>D30/J30-1</f>
        <v>4.0000000000000036E-2</v>
      </c>
      <c r="O30" s="311">
        <f t="shared" ref="O30:Q40" si="7">E30/K30-1</f>
        <v>3.3333333333333437E-2</v>
      </c>
      <c r="P30" s="311">
        <f t="shared" si="7"/>
        <v>3.7500000000000089E-2</v>
      </c>
      <c r="Q30" s="311">
        <f t="shared" si="7"/>
        <v>4.0000000000000036E-2</v>
      </c>
    </row>
    <row r="31" spans="1:17" ht="15.6" customHeight="1" outlineLevel="1" x14ac:dyDescent="0.3">
      <c r="A31" s="430"/>
      <c r="B31" s="431"/>
      <c r="C31" s="45">
        <v>2100</v>
      </c>
      <c r="D31" s="46">
        <f>D30*(1+E14)</f>
        <v>2860.0000000000005</v>
      </c>
      <c r="E31" s="46">
        <f>E30*(1+E14)</f>
        <v>3410.0000000000005</v>
      </c>
      <c r="F31" s="46">
        <f>F30*(1+E14)</f>
        <v>4565</v>
      </c>
      <c r="G31" s="46">
        <f>G30*(1+E14)</f>
        <v>5720.0000000000009</v>
      </c>
      <c r="H31" s="107"/>
      <c r="I31" s="107"/>
      <c r="J31" s="46">
        <f>J30*(1+$E$14)</f>
        <v>2750</v>
      </c>
      <c r="K31" s="46">
        <f t="shared" ref="K31:M31" si="8">K30*(1+$E$14)</f>
        <v>3300.0000000000005</v>
      </c>
      <c r="L31" s="46">
        <f t="shared" si="8"/>
        <v>4400</v>
      </c>
      <c r="M31" s="46">
        <f t="shared" si="8"/>
        <v>5500</v>
      </c>
      <c r="N31" s="311">
        <f t="shared" ref="N31:N40" si="9">D31/J31-1</f>
        <v>4.0000000000000258E-2</v>
      </c>
      <c r="O31" s="311">
        <f t="shared" si="7"/>
        <v>3.3333333333333437E-2</v>
      </c>
      <c r="P31" s="311">
        <f t="shared" si="7"/>
        <v>3.7500000000000089E-2</v>
      </c>
      <c r="Q31" s="311">
        <f t="shared" si="7"/>
        <v>4.0000000000000258E-2</v>
      </c>
    </row>
    <row r="32" spans="1:17" ht="15.6" customHeight="1" outlineLevel="1" x14ac:dyDescent="0.3">
      <c r="A32" s="430"/>
      <c r="B32" s="431"/>
      <c r="C32" s="45">
        <v>2200</v>
      </c>
      <c r="D32" s="46">
        <f>D30*(1+E15)</f>
        <v>3120</v>
      </c>
      <c r="E32" s="46">
        <f>E30*(1+E15)</f>
        <v>3720</v>
      </c>
      <c r="F32" s="46">
        <f>F30*(1+E15)</f>
        <v>4980</v>
      </c>
      <c r="G32" s="46">
        <f>G30*(1+E15)</f>
        <v>6240</v>
      </c>
      <c r="H32" s="107"/>
      <c r="I32" s="107"/>
      <c r="J32" s="46">
        <f>J30*(1+$E$15)</f>
        <v>3000</v>
      </c>
      <c r="K32" s="46">
        <f t="shared" ref="K32:M32" si="10">K30*(1+$E$15)</f>
        <v>3600</v>
      </c>
      <c r="L32" s="46">
        <f t="shared" si="10"/>
        <v>4800</v>
      </c>
      <c r="M32" s="46">
        <f t="shared" si="10"/>
        <v>6000</v>
      </c>
      <c r="N32" s="311">
        <f t="shared" si="9"/>
        <v>4.0000000000000036E-2</v>
      </c>
      <c r="O32" s="311">
        <f t="shared" si="7"/>
        <v>3.3333333333333437E-2</v>
      </c>
      <c r="P32" s="311">
        <f t="shared" si="7"/>
        <v>3.7500000000000089E-2</v>
      </c>
      <c r="Q32" s="311">
        <f t="shared" si="7"/>
        <v>4.0000000000000036E-2</v>
      </c>
    </row>
    <row r="33" spans="1:17" ht="15.6" customHeight="1" outlineLevel="1" x14ac:dyDescent="0.3">
      <c r="A33" s="430"/>
      <c r="B33" s="431"/>
      <c r="C33" s="45">
        <v>2300</v>
      </c>
      <c r="D33" s="46">
        <f>D30*(1+E16)</f>
        <v>3380</v>
      </c>
      <c r="E33" s="46">
        <f>E30*(1+E16)</f>
        <v>4030</v>
      </c>
      <c r="F33" s="46">
        <f>F30*(1+E16)</f>
        <v>5395</v>
      </c>
      <c r="G33" s="46">
        <f>G30*(1+E16)</f>
        <v>6760</v>
      </c>
      <c r="H33" s="107"/>
      <c r="I33" s="107"/>
      <c r="J33" s="46">
        <f>J30*(1+$E$16)</f>
        <v>3250</v>
      </c>
      <c r="K33" s="46">
        <f t="shared" ref="K33:M33" si="11">K30*(1+$E$16)</f>
        <v>3900</v>
      </c>
      <c r="L33" s="46">
        <f t="shared" si="11"/>
        <v>5200</v>
      </c>
      <c r="M33" s="46">
        <f t="shared" si="11"/>
        <v>6500</v>
      </c>
      <c r="N33" s="311">
        <f t="shared" si="9"/>
        <v>4.0000000000000036E-2</v>
      </c>
      <c r="O33" s="311">
        <f t="shared" si="7"/>
        <v>3.3333333333333437E-2</v>
      </c>
      <c r="P33" s="311">
        <f t="shared" si="7"/>
        <v>3.7500000000000089E-2</v>
      </c>
      <c r="Q33" s="311">
        <f t="shared" si="7"/>
        <v>4.0000000000000036E-2</v>
      </c>
    </row>
    <row r="34" spans="1:17" ht="15.6" customHeight="1" outlineLevel="1" x14ac:dyDescent="0.3">
      <c r="A34" s="432"/>
      <c r="B34" s="433"/>
      <c r="C34" s="309">
        <v>2400</v>
      </c>
      <c r="D34" s="46">
        <f>D30*(1+E17)</f>
        <v>3639.9999999999995</v>
      </c>
      <c r="E34" s="46">
        <f>E30*(1+E17)</f>
        <v>4340</v>
      </c>
      <c r="F34" s="46">
        <f>F30*(1+E17)</f>
        <v>5810</v>
      </c>
      <c r="G34" s="46">
        <f>G30*(1+E17)</f>
        <v>7279.9999999999991</v>
      </c>
      <c r="H34" s="107"/>
      <c r="I34" s="107"/>
      <c r="J34" s="46"/>
      <c r="K34" s="46"/>
      <c r="L34" s="46"/>
      <c r="M34" s="46"/>
      <c r="N34" s="311"/>
      <c r="O34" s="311"/>
      <c r="P34" s="311"/>
      <c r="Q34" s="311"/>
    </row>
    <row r="35" spans="1:17" ht="15.6" customHeight="1" x14ac:dyDescent="0.3">
      <c r="A35" s="428" t="s">
        <v>149</v>
      </c>
      <c r="B35" s="429"/>
      <c r="C35" s="50">
        <v>2000</v>
      </c>
      <c r="D35" s="48">
        <v>3150</v>
      </c>
      <c r="E35" s="48">
        <f>D35+500</f>
        <v>3650</v>
      </c>
      <c r="F35" s="48">
        <f>E35+1050</f>
        <v>4700</v>
      </c>
      <c r="G35" s="48">
        <f>F35+1050</f>
        <v>5750</v>
      </c>
      <c r="H35" s="107"/>
      <c r="I35" s="107"/>
      <c r="J35" s="46">
        <v>3000</v>
      </c>
      <c r="K35" s="46">
        <f>J35+500</f>
        <v>3500</v>
      </c>
      <c r="L35" s="46">
        <f>K35+1000</f>
        <v>4500</v>
      </c>
      <c r="M35" s="46">
        <f>L35+1000</f>
        <v>5500</v>
      </c>
      <c r="N35" s="311">
        <f t="shared" si="9"/>
        <v>5.0000000000000044E-2</v>
      </c>
      <c r="O35" s="311">
        <f>E35/K35-1</f>
        <v>4.2857142857142927E-2</v>
      </c>
      <c r="P35" s="311">
        <f t="shared" si="7"/>
        <v>4.4444444444444509E-2</v>
      </c>
      <c r="Q35" s="311">
        <f t="shared" si="7"/>
        <v>4.5454545454545414E-2</v>
      </c>
    </row>
    <row r="36" spans="1:17" ht="15.6" customHeight="1" outlineLevel="1" x14ac:dyDescent="0.3">
      <c r="A36" s="430"/>
      <c r="B36" s="431"/>
      <c r="C36" s="45">
        <v>2100</v>
      </c>
      <c r="D36" s="46">
        <f>D35*(1+E19)</f>
        <v>3465.0000000000005</v>
      </c>
      <c r="E36" s="46">
        <f>E35*(1+E14)</f>
        <v>4015.0000000000005</v>
      </c>
      <c r="F36" s="46">
        <f>F35*(1+E19)</f>
        <v>5170</v>
      </c>
      <c r="G36" s="46">
        <f>G35*(1+E19)</f>
        <v>6325.0000000000009</v>
      </c>
      <c r="H36" s="107"/>
      <c r="I36" s="107"/>
      <c r="J36" s="46">
        <f>J35*(1+$E$14)</f>
        <v>3300.0000000000005</v>
      </c>
      <c r="K36" s="46">
        <f t="shared" ref="K36" si="12">K35*(1+$E$14)</f>
        <v>3850.0000000000005</v>
      </c>
      <c r="L36" s="46">
        <f t="shared" ref="L36" si="13">L35*(1+$E$14)</f>
        <v>4950</v>
      </c>
      <c r="M36" s="46">
        <f t="shared" ref="M36" si="14">M35*(1+$E$14)</f>
        <v>6050.0000000000009</v>
      </c>
      <c r="N36" s="311">
        <f t="shared" si="9"/>
        <v>5.0000000000000044E-2</v>
      </c>
      <c r="O36" s="311">
        <f t="shared" si="7"/>
        <v>4.2857142857142927E-2</v>
      </c>
      <c r="P36" s="311">
        <f t="shared" si="7"/>
        <v>4.4444444444444509E-2</v>
      </c>
      <c r="Q36" s="311">
        <f t="shared" si="7"/>
        <v>4.5454545454545414E-2</v>
      </c>
    </row>
    <row r="37" spans="1:17" ht="15.6" customHeight="1" outlineLevel="1" x14ac:dyDescent="0.3">
      <c r="A37" s="430"/>
      <c r="B37" s="431"/>
      <c r="C37" s="45">
        <v>2200</v>
      </c>
      <c r="D37" s="46">
        <f>D35*(1+E20)</f>
        <v>3780</v>
      </c>
      <c r="E37" s="46">
        <f>E35*(1+E15)</f>
        <v>4380</v>
      </c>
      <c r="F37" s="46">
        <f>F35*(1+E20)</f>
        <v>5640</v>
      </c>
      <c r="G37" s="46">
        <f>G35*(1+E20)</f>
        <v>6900</v>
      </c>
      <c r="H37" s="107"/>
      <c r="I37" s="107"/>
      <c r="J37" s="46">
        <f>J35*(1+$E$15)</f>
        <v>3600</v>
      </c>
      <c r="K37" s="46">
        <f t="shared" ref="K37:M37" si="15">K35*(1+$E$15)</f>
        <v>4200</v>
      </c>
      <c r="L37" s="46">
        <f t="shared" si="15"/>
        <v>5400</v>
      </c>
      <c r="M37" s="46">
        <f t="shared" si="15"/>
        <v>6600</v>
      </c>
      <c r="N37" s="311">
        <f t="shared" si="9"/>
        <v>5.0000000000000044E-2</v>
      </c>
      <c r="O37" s="311">
        <f t="shared" si="7"/>
        <v>4.2857142857142927E-2</v>
      </c>
      <c r="P37" s="311">
        <f t="shared" si="7"/>
        <v>4.4444444444444509E-2</v>
      </c>
      <c r="Q37" s="311">
        <f t="shared" si="7"/>
        <v>4.5454545454545414E-2</v>
      </c>
    </row>
    <row r="38" spans="1:17" ht="15.6" customHeight="1" outlineLevel="1" x14ac:dyDescent="0.3">
      <c r="A38" s="430"/>
      <c r="B38" s="431"/>
      <c r="C38" s="45">
        <v>2300</v>
      </c>
      <c r="D38" s="46">
        <f>D35*(1+E16)</f>
        <v>4095</v>
      </c>
      <c r="E38" s="46">
        <f>E35*(1+E16)</f>
        <v>4745</v>
      </c>
      <c r="F38" s="46">
        <f>F35*(1+E21)</f>
        <v>6110</v>
      </c>
      <c r="G38" s="46">
        <f>G35*(1+E21)</f>
        <v>7475</v>
      </c>
      <c r="H38" s="107"/>
      <c r="I38" s="107"/>
      <c r="J38" s="46">
        <f>J35*(1+$E$16)</f>
        <v>3900</v>
      </c>
      <c r="K38" s="46">
        <f t="shared" ref="K38:M38" si="16">K35*(1+$E$16)</f>
        <v>4550</v>
      </c>
      <c r="L38" s="46">
        <f t="shared" si="16"/>
        <v>5850</v>
      </c>
      <c r="M38" s="46">
        <f t="shared" si="16"/>
        <v>7150</v>
      </c>
      <c r="N38" s="311">
        <f t="shared" si="9"/>
        <v>5.0000000000000044E-2</v>
      </c>
      <c r="O38" s="311">
        <f t="shared" si="7"/>
        <v>4.2857142857142927E-2</v>
      </c>
      <c r="P38" s="311">
        <f t="shared" si="7"/>
        <v>4.4444444444444509E-2</v>
      </c>
      <c r="Q38" s="311">
        <f t="shared" si="7"/>
        <v>4.5454545454545414E-2</v>
      </c>
    </row>
    <row r="39" spans="1:17" ht="15.6" customHeight="1" outlineLevel="1" x14ac:dyDescent="0.3">
      <c r="A39" s="432"/>
      <c r="B39" s="433"/>
      <c r="C39" s="309">
        <v>2400</v>
      </c>
      <c r="D39" s="46">
        <f>D35*(1+E17)</f>
        <v>4410</v>
      </c>
      <c r="E39" s="46">
        <f>E35*(1+E17)</f>
        <v>5110</v>
      </c>
      <c r="F39" s="46">
        <f>F35*(1+E22)</f>
        <v>6580</v>
      </c>
      <c r="G39" s="46">
        <f>G35*(1+E22)</f>
        <v>8049.9999999999991</v>
      </c>
      <c r="H39" s="107"/>
      <c r="I39" s="107"/>
      <c r="J39" s="46"/>
      <c r="K39" s="46"/>
      <c r="L39" s="46"/>
      <c r="M39" s="46"/>
      <c r="N39" s="311"/>
      <c r="O39" s="311"/>
      <c r="P39" s="311"/>
      <c r="Q39" s="311"/>
    </row>
    <row r="40" spans="1:17" ht="15.6" customHeight="1" x14ac:dyDescent="0.3">
      <c r="A40" s="438" t="s">
        <v>162</v>
      </c>
      <c r="B40" s="438"/>
      <c r="C40" s="336">
        <v>2000</v>
      </c>
      <c r="D40" s="48">
        <v>3650</v>
      </c>
      <c r="E40" s="48">
        <f>D40+500</f>
        <v>4150</v>
      </c>
      <c r="F40" s="48">
        <f>E40+1000</f>
        <v>5150</v>
      </c>
      <c r="G40" s="48">
        <f>F40+1050</f>
        <v>6200</v>
      </c>
      <c r="H40" s="107"/>
      <c r="I40" s="107"/>
      <c r="J40" s="46">
        <v>3500</v>
      </c>
      <c r="K40" s="46">
        <f>J40+500</f>
        <v>4000</v>
      </c>
      <c r="L40" s="46">
        <f>K40+1000</f>
        <v>5000</v>
      </c>
      <c r="M40" s="46">
        <f>L40+1000</f>
        <v>6000</v>
      </c>
      <c r="N40" s="311">
        <f t="shared" si="9"/>
        <v>4.2857142857142927E-2</v>
      </c>
      <c r="O40" s="311">
        <f t="shared" si="7"/>
        <v>3.7500000000000089E-2</v>
      </c>
      <c r="P40" s="311">
        <f t="shared" si="7"/>
        <v>3.0000000000000027E-2</v>
      </c>
      <c r="Q40" s="311">
        <f t="shared" si="7"/>
        <v>3.3333333333333437E-2</v>
      </c>
    </row>
    <row r="41" spans="1:17" ht="15.6" customHeight="1" outlineLevel="1" x14ac:dyDescent="0.3">
      <c r="A41" s="438"/>
      <c r="B41" s="438"/>
      <c r="C41" s="337">
        <v>2100</v>
      </c>
      <c r="D41" s="46">
        <f>D40*(1+E19)</f>
        <v>4015.0000000000005</v>
      </c>
      <c r="E41" s="46">
        <f>E40*(1+E19)</f>
        <v>4565</v>
      </c>
      <c r="F41" s="46">
        <f>F40*(1+E19)</f>
        <v>5665.0000000000009</v>
      </c>
      <c r="G41" s="46">
        <f>G40*(1+E19)</f>
        <v>6820.0000000000009</v>
      </c>
      <c r="J41" s="46">
        <f>J40*(1+$E$14)</f>
        <v>3850.0000000000005</v>
      </c>
      <c r="K41" s="46">
        <f t="shared" ref="K41" si="17">K40*(1+$E$14)</f>
        <v>4400</v>
      </c>
      <c r="L41" s="46">
        <f t="shared" ref="L41" si="18">L40*(1+$E$14)</f>
        <v>5500</v>
      </c>
      <c r="M41" s="46">
        <f t="shared" ref="M41" si="19">M40*(1+$E$14)</f>
        <v>6600.0000000000009</v>
      </c>
      <c r="N41" s="311">
        <f t="shared" ref="N41:N43" si="20">D41/J41-1</f>
        <v>4.2857142857142927E-2</v>
      </c>
      <c r="O41" s="311">
        <f t="shared" ref="O41:O43" si="21">E41/K41-1</f>
        <v>3.7500000000000089E-2</v>
      </c>
      <c r="P41" s="311">
        <f t="shared" ref="P41:P43" si="22">F41/L41-1</f>
        <v>3.0000000000000249E-2</v>
      </c>
      <c r="Q41" s="311">
        <f t="shared" ref="Q41:Q43" si="23">G41/M41-1</f>
        <v>3.3333333333333437E-2</v>
      </c>
    </row>
    <row r="42" spans="1:17" ht="15.6" customHeight="1" outlineLevel="1" x14ac:dyDescent="0.3">
      <c r="A42" s="438"/>
      <c r="B42" s="438"/>
      <c r="C42" s="337">
        <v>2200</v>
      </c>
      <c r="D42" s="46">
        <f>D40*(1+E20)</f>
        <v>4380</v>
      </c>
      <c r="E42" s="46">
        <f>E40*(1+E20)</f>
        <v>4980</v>
      </c>
      <c r="F42" s="46">
        <f>F40*(1+E20)</f>
        <v>6180</v>
      </c>
      <c r="G42" s="46">
        <f>G40*(1+E20)</f>
        <v>7440</v>
      </c>
      <c r="J42" s="46">
        <f>J40*(1+$E$15)</f>
        <v>4200</v>
      </c>
      <c r="K42" s="46">
        <f t="shared" ref="K42:M42" si="24">K40*(1+$E$15)</f>
        <v>4800</v>
      </c>
      <c r="L42" s="46">
        <f t="shared" si="24"/>
        <v>6000</v>
      </c>
      <c r="M42" s="46">
        <f t="shared" si="24"/>
        <v>7200</v>
      </c>
      <c r="N42" s="311">
        <f t="shared" si="20"/>
        <v>4.2857142857142927E-2</v>
      </c>
      <c r="O42" s="311">
        <f t="shared" si="21"/>
        <v>3.7500000000000089E-2</v>
      </c>
      <c r="P42" s="311">
        <f t="shared" si="22"/>
        <v>3.0000000000000027E-2</v>
      </c>
      <c r="Q42" s="311">
        <f t="shared" si="23"/>
        <v>3.3333333333333437E-2</v>
      </c>
    </row>
    <row r="43" spans="1:17" ht="15.6" customHeight="1" outlineLevel="1" x14ac:dyDescent="0.3">
      <c r="A43" s="438"/>
      <c r="B43" s="438"/>
      <c r="C43" s="337">
        <v>2300</v>
      </c>
      <c r="D43" s="46">
        <f>D40*(1+E21)</f>
        <v>4745</v>
      </c>
      <c r="E43" s="46">
        <f>E40*(1+E21)</f>
        <v>5395</v>
      </c>
      <c r="F43" s="46">
        <f>F40*(1+E21)</f>
        <v>6695</v>
      </c>
      <c r="G43" s="46">
        <f>G40*(1+E21)</f>
        <v>8060</v>
      </c>
      <c r="J43" s="46">
        <f>J40*(1+$E$16)</f>
        <v>4550</v>
      </c>
      <c r="K43" s="46">
        <f t="shared" ref="K43:M43" si="25">K40*(1+$E$16)</f>
        <v>5200</v>
      </c>
      <c r="L43" s="46">
        <f t="shared" si="25"/>
        <v>6500</v>
      </c>
      <c r="M43" s="46">
        <f t="shared" si="25"/>
        <v>7800</v>
      </c>
      <c r="N43" s="311">
        <f t="shared" si="20"/>
        <v>4.2857142857142927E-2</v>
      </c>
      <c r="O43" s="311">
        <f t="shared" si="21"/>
        <v>3.7500000000000089E-2</v>
      </c>
      <c r="P43" s="311">
        <f t="shared" si="22"/>
        <v>3.0000000000000027E-2</v>
      </c>
      <c r="Q43" s="311">
        <f t="shared" si="23"/>
        <v>3.3333333333333437E-2</v>
      </c>
    </row>
    <row r="44" spans="1:17" ht="15.6" customHeight="1" x14ac:dyDescent="0.3">
      <c r="A44" s="438"/>
      <c r="B44" s="438"/>
      <c r="C44" s="335">
        <v>2400</v>
      </c>
      <c r="D44" s="46">
        <f>D40*(1+E22)</f>
        <v>5110</v>
      </c>
      <c r="E44" s="46">
        <f>E40*(1+E22)</f>
        <v>5810</v>
      </c>
      <c r="F44" s="46">
        <f>F40*(1+E22)</f>
        <v>7209.9999999999991</v>
      </c>
      <c r="G44" s="46">
        <f>G40*(1+E22)</f>
        <v>8680</v>
      </c>
    </row>
    <row r="45" spans="1:17" ht="15.6" customHeight="1" x14ac:dyDescent="0.3">
      <c r="A45" s="435"/>
      <c r="B45" s="435"/>
      <c r="C45" s="435"/>
      <c r="D45" s="435"/>
      <c r="E45" s="435"/>
      <c r="F45" s="435"/>
      <c r="G45" s="435"/>
    </row>
    <row r="46" spans="1:17" ht="15.6" customHeight="1" x14ac:dyDescent="0.3">
      <c r="A46" s="105" t="s">
        <v>142</v>
      </c>
      <c r="B46" s="36"/>
      <c r="C46" s="36"/>
      <c r="D46" s="36"/>
      <c r="E46" s="36"/>
      <c r="F46" s="36"/>
      <c r="G46" s="36"/>
    </row>
    <row r="47" spans="1:17" ht="15.6" customHeight="1" x14ac:dyDescent="0.3">
      <c r="A47" s="284" t="s">
        <v>361</v>
      </c>
      <c r="B47" s="36"/>
      <c r="C47" s="36"/>
      <c r="D47" s="36"/>
      <c r="E47" s="36"/>
      <c r="F47" s="36"/>
      <c r="G47" s="36"/>
    </row>
    <row r="48" spans="1:17" ht="15.75" customHeight="1" x14ac:dyDescent="0.3">
      <c r="A48" s="407" t="s">
        <v>138</v>
      </c>
      <c r="B48" s="407"/>
      <c r="C48" s="407"/>
      <c r="D48" s="407"/>
      <c r="E48" s="407"/>
      <c r="F48" s="407"/>
      <c r="G48" s="407"/>
    </row>
    <row r="49" spans="1:15" ht="24" customHeight="1" x14ac:dyDescent="0.3">
      <c r="A49" s="403" t="s">
        <v>84</v>
      </c>
      <c r="B49" s="403"/>
      <c r="C49" s="403" t="s">
        <v>68</v>
      </c>
      <c r="D49" s="403"/>
      <c r="E49" s="403"/>
      <c r="F49" s="403"/>
      <c r="G49" s="403"/>
    </row>
    <row r="50" spans="1:15" ht="24" customHeight="1" x14ac:dyDescent="0.3">
      <c r="A50" s="403"/>
      <c r="B50" s="403"/>
      <c r="C50" s="113" t="s">
        <v>65</v>
      </c>
      <c r="D50" s="113" t="s">
        <v>66</v>
      </c>
      <c r="E50" s="113" t="s">
        <v>166</v>
      </c>
      <c r="F50" s="306" t="s">
        <v>163</v>
      </c>
      <c r="G50" s="113" t="s">
        <v>88</v>
      </c>
    </row>
    <row r="51" spans="1:15" s="49" customFormat="1" ht="24" customHeight="1" x14ac:dyDescent="0.3">
      <c r="A51" s="396" t="s">
        <v>398</v>
      </c>
      <c r="B51" s="307" t="s">
        <v>137</v>
      </c>
      <c r="C51" s="404" t="s">
        <v>67</v>
      </c>
      <c r="D51" s="50">
        <v>2000</v>
      </c>
      <c r="E51" s="48">
        <f>Twist!E31</f>
        <v>7450</v>
      </c>
      <c r="F51" s="48">
        <f t="shared" ref="F51:F60" si="26">E51+F13</f>
        <v>22730</v>
      </c>
      <c r="G51" s="48">
        <f t="shared" ref="G51:G60" si="27">E51+G13</f>
        <v>19674</v>
      </c>
      <c r="J51"/>
      <c r="K51"/>
      <c r="L51"/>
      <c r="M51"/>
      <c r="N51"/>
      <c r="O51"/>
    </row>
    <row r="52" spans="1:15" ht="24" customHeight="1" outlineLevel="1" x14ac:dyDescent="0.3">
      <c r="A52" s="396"/>
      <c r="B52" s="402" t="s">
        <v>85</v>
      </c>
      <c r="C52" s="404"/>
      <c r="D52" s="309">
        <v>2100</v>
      </c>
      <c r="E52" s="48">
        <f>Twist!E32</f>
        <v>8200</v>
      </c>
      <c r="F52" s="48">
        <f t="shared" si="26"/>
        <v>25050</v>
      </c>
      <c r="G52" s="48">
        <f t="shared" si="27"/>
        <v>21680</v>
      </c>
    </row>
    <row r="53" spans="1:15" ht="24" customHeight="1" outlineLevel="1" x14ac:dyDescent="0.3">
      <c r="A53" s="396"/>
      <c r="B53" s="402"/>
      <c r="C53" s="404"/>
      <c r="D53" s="309">
        <v>2200</v>
      </c>
      <c r="E53" s="48">
        <f>Twist!E33</f>
        <v>8200</v>
      </c>
      <c r="F53" s="48">
        <f t="shared" si="26"/>
        <v>26550</v>
      </c>
      <c r="G53" s="48">
        <f t="shared" si="27"/>
        <v>22880</v>
      </c>
    </row>
    <row r="54" spans="1:15" ht="24" customHeight="1" outlineLevel="1" x14ac:dyDescent="0.3">
      <c r="A54" s="396"/>
      <c r="B54" s="307" t="s">
        <v>86</v>
      </c>
      <c r="C54" s="404"/>
      <c r="D54" s="309">
        <v>2300</v>
      </c>
      <c r="E54" s="48">
        <f>Twist!E34</f>
        <v>9100</v>
      </c>
      <c r="F54" s="48">
        <f t="shared" si="26"/>
        <v>29000</v>
      </c>
      <c r="G54" s="48">
        <f t="shared" si="27"/>
        <v>25020</v>
      </c>
    </row>
    <row r="55" spans="1:15" s="49" customFormat="1" ht="24" customHeight="1" x14ac:dyDescent="0.3">
      <c r="A55" s="396"/>
      <c r="B55" s="307" t="s">
        <v>395</v>
      </c>
      <c r="C55" s="404"/>
      <c r="D55" s="309">
        <v>2400</v>
      </c>
      <c r="E55" s="48">
        <f>Twist!E35</f>
        <v>9700</v>
      </c>
      <c r="F55" s="48">
        <f t="shared" si="26"/>
        <v>31100</v>
      </c>
      <c r="G55" s="48">
        <f t="shared" si="27"/>
        <v>26820</v>
      </c>
      <c r="J55"/>
      <c r="K55"/>
      <c r="L55"/>
      <c r="M55"/>
      <c r="N55"/>
      <c r="O55"/>
    </row>
    <row r="56" spans="1:15" ht="24" customHeight="1" outlineLevel="1" x14ac:dyDescent="0.3">
      <c r="A56" s="396"/>
      <c r="B56" s="307" t="s">
        <v>137</v>
      </c>
      <c r="C56" s="404">
        <v>900</v>
      </c>
      <c r="D56" s="50">
        <v>2000</v>
      </c>
      <c r="E56" s="48">
        <f>E51</f>
        <v>7450</v>
      </c>
      <c r="F56" s="48">
        <f t="shared" si="26"/>
        <v>24300</v>
      </c>
      <c r="G56" s="48">
        <f t="shared" si="27"/>
        <v>20930</v>
      </c>
    </row>
    <row r="57" spans="1:15" ht="24" customHeight="1" outlineLevel="1" x14ac:dyDescent="0.3">
      <c r="A57" s="396"/>
      <c r="B57" s="402" t="s">
        <v>85</v>
      </c>
      <c r="C57" s="404"/>
      <c r="D57" s="309">
        <v>2100</v>
      </c>
      <c r="E57" s="48">
        <f t="shared" ref="E57:E59" si="28">E52</f>
        <v>8200</v>
      </c>
      <c r="F57" s="48">
        <f t="shared" si="26"/>
        <v>26750</v>
      </c>
      <c r="G57" s="48">
        <f t="shared" si="27"/>
        <v>23040</v>
      </c>
    </row>
    <row r="58" spans="1:15" ht="24" customHeight="1" outlineLevel="1" x14ac:dyDescent="0.3">
      <c r="A58" s="396"/>
      <c r="B58" s="402"/>
      <c r="C58" s="404"/>
      <c r="D58" s="309">
        <v>2200</v>
      </c>
      <c r="E58" s="48">
        <f t="shared" si="28"/>
        <v>8200</v>
      </c>
      <c r="F58" s="48">
        <f t="shared" si="26"/>
        <v>28450</v>
      </c>
      <c r="G58" s="48">
        <f t="shared" si="27"/>
        <v>24400</v>
      </c>
    </row>
    <row r="59" spans="1:15" ht="24" customHeight="1" x14ac:dyDescent="0.3">
      <c r="A59" s="396"/>
      <c r="B59" s="307" t="s">
        <v>86</v>
      </c>
      <c r="C59" s="404"/>
      <c r="D59" s="309">
        <v>2300</v>
      </c>
      <c r="E59" s="48">
        <f t="shared" si="28"/>
        <v>9100</v>
      </c>
      <c r="F59" s="48">
        <f t="shared" si="26"/>
        <v>31050</v>
      </c>
      <c r="G59" s="48">
        <f t="shared" si="27"/>
        <v>26660</v>
      </c>
    </row>
    <row r="60" spans="1:15" ht="24" customHeight="1" x14ac:dyDescent="0.3">
      <c r="A60" s="396"/>
      <c r="B60" s="307" t="s">
        <v>395</v>
      </c>
      <c r="C60" s="404"/>
      <c r="D60" s="309">
        <v>2400</v>
      </c>
      <c r="E60" s="48">
        <f>E55</f>
        <v>9700</v>
      </c>
      <c r="F60" s="48">
        <f t="shared" si="26"/>
        <v>33300</v>
      </c>
      <c r="G60" s="48">
        <f t="shared" si="27"/>
        <v>28580</v>
      </c>
    </row>
    <row r="61" spans="1:15" ht="15.6" customHeight="1" x14ac:dyDescent="0.3">
      <c r="A61" s="412"/>
      <c r="B61" s="412"/>
      <c r="C61" s="215"/>
      <c r="D61" s="305"/>
      <c r="E61" s="413"/>
      <c r="F61" s="413"/>
      <c r="G61" s="413"/>
    </row>
    <row r="62" spans="1:15" ht="24" customHeight="1" x14ac:dyDescent="0.3">
      <c r="A62" s="407" t="s">
        <v>164</v>
      </c>
      <c r="B62" s="407"/>
      <c r="C62" s="407"/>
      <c r="D62" s="407"/>
      <c r="E62" s="407"/>
      <c r="F62" s="407"/>
      <c r="G62" s="407"/>
    </row>
    <row r="63" spans="1:15" s="49" customFormat="1" ht="27" customHeight="1" x14ac:dyDescent="0.3">
      <c r="A63" s="403" t="s">
        <v>139</v>
      </c>
      <c r="B63" s="403"/>
      <c r="C63" s="403" t="s">
        <v>68</v>
      </c>
      <c r="D63" s="403"/>
      <c r="E63" s="403"/>
      <c r="F63" s="403"/>
      <c r="G63" s="403"/>
      <c r="J63"/>
      <c r="K63"/>
      <c r="L63"/>
      <c r="M63"/>
      <c r="N63"/>
      <c r="O63"/>
    </row>
    <row r="64" spans="1:15" ht="25.5" customHeight="1" outlineLevel="1" x14ac:dyDescent="0.3">
      <c r="A64" s="403"/>
      <c r="B64" s="403"/>
      <c r="C64" s="113" t="s">
        <v>65</v>
      </c>
      <c r="D64" s="113" t="s">
        <v>66</v>
      </c>
      <c r="E64" s="113" t="s">
        <v>166</v>
      </c>
      <c r="F64" s="306" t="s">
        <v>87</v>
      </c>
      <c r="G64" s="113" t="s">
        <v>88</v>
      </c>
    </row>
    <row r="65" spans="1:15" ht="24" customHeight="1" outlineLevel="1" x14ac:dyDescent="0.3">
      <c r="A65" s="396" t="s">
        <v>51</v>
      </c>
      <c r="B65" s="307" t="s">
        <v>137</v>
      </c>
      <c r="C65" s="404" t="s">
        <v>67</v>
      </c>
      <c r="D65" s="50">
        <v>2000</v>
      </c>
      <c r="E65" s="123">
        <f>Twist!E45</f>
        <v>9800</v>
      </c>
      <c r="F65" s="48">
        <f t="shared" ref="F65:F74" si="29">F13+E65</f>
        <v>25080</v>
      </c>
      <c r="G65" s="48">
        <f t="shared" ref="G65:G74" si="30">G13+E65</f>
        <v>22024</v>
      </c>
    </row>
    <row r="66" spans="1:15" ht="24" customHeight="1" outlineLevel="1" x14ac:dyDescent="0.3">
      <c r="A66" s="396"/>
      <c r="B66" s="402" t="s">
        <v>85</v>
      </c>
      <c r="C66" s="404"/>
      <c r="D66" s="309">
        <v>2100</v>
      </c>
      <c r="E66" s="123">
        <f>Twist!E46</f>
        <v>10800</v>
      </c>
      <c r="F66" s="48">
        <f t="shared" si="29"/>
        <v>27650</v>
      </c>
      <c r="G66" s="48">
        <f t="shared" si="30"/>
        <v>24280</v>
      </c>
    </row>
    <row r="67" spans="1:15" s="49" customFormat="1" ht="24" customHeight="1" x14ac:dyDescent="0.3">
      <c r="A67" s="396"/>
      <c r="B67" s="402"/>
      <c r="C67" s="404"/>
      <c r="D67" s="309">
        <v>2200</v>
      </c>
      <c r="E67" s="123">
        <f>Twist!E47</f>
        <v>10800</v>
      </c>
      <c r="F67" s="48">
        <f t="shared" si="29"/>
        <v>29150</v>
      </c>
      <c r="G67" s="48">
        <f t="shared" si="30"/>
        <v>25480</v>
      </c>
      <c r="J67"/>
      <c r="K67"/>
      <c r="L67"/>
      <c r="M67"/>
      <c r="N67"/>
      <c r="O67"/>
    </row>
    <row r="68" spans="1:15" ht="24" customHeight="1" outlineLevel="1" x14ac:dyDescent="0.3">
      <c r="A68" s="396"/>
      <c r="B68" s="307" t="s">
        <v>86</v>
      </c>
      <c r="C68" s="404"/>
      <c r="D68" s="309">
        <v>2300</v>
      </c>
      <c r="E68" s="123">
        <f>Twist!E48</f>
        <v>11700</v>
      </c>
      <c r="F68" s="48">
        <f t="shared" si="29"/>
        <v>31600</v>
      </c>
      <c r="G68" s="48">
        <f t="shared" si="30"/>
        <v>27620</v>
      </c>
    </row>
    <row r="69" spans="1:15" ht="24" customHeight="1" outlineLevel="1" x14ac:dyDescent="0.3">
      <c r="A69" s="396"/>
      <c r="B69" s="307" t="s">
        <v>395</v>
      </c>
      <c r="C69" s="404"/>
      <c r="D69" s="309">
        <v>2400</v>
      </c>
      <c r="E69" s="123">
        <f>Twist!E49</f>
        <v>12775</v>
      </c>
      <c r="F69" s="48">
        <f t="shared" si="29"/>
        <v>34175</v>
      </c>
      <c r="G69" s="48">
        <f t="shared" si="30"/>
        <v>29895</v>
      </c>
    </row>
    <row r="70" spans="1:15" ht="24" customHeight="1" outlineLevel="1" x14ac:dyDescent="0.3">
      <c r="A70" s="396"/>
      <c r="B70" s="307" t="s">
        <v>137</v>
      </c>
      <c r="C70" s="404">
        <v>900</v>
      </c>
      <c r="D70" s="50">
        <v>2000</v>
      </c>
      <c r="E70" s="123">
        <f>E65</f>
        <v>9800</v>
      </c>
      <c r="F70" s="48">
        <f t="shared" si="29"/>
        <v>26650</v>
      </c>
      <c r="G70" s="48">
        <f t="shared" si="30"/>
        <v>23280</v>
      </c>
    </row>
    <row r="71" spans="1:15" ht="24" customHeight="1" outlineLevel="1" x14ac:dyDescent="0.3">
      <c r="A71" s="396"/>
      <c r="B71" s="402" t="s">
        <v>85</v>
      </c>
      <c r="C71" s="404"/>
      <c r="D71" s="309">
        <v>2100</v>
      </c>
      <c r="E71" s="123">
        <f>E66</f>
        <v>10800</v>
      </c>
      <c r="F71" s="48">
        <f t="shared" si="29"/>
        <v>29350</v>
      </c>
      <c r="G71" s="48">
        <f t="shared" si="30"/>
        <v>25640</v>
      </c>
    </row>
    <row r="72" spans="1:15" ht="24" customHeight="1" outlineLevel="1" x14ac:dyDescent="0.3">
      <c r="A72" s="396"/>
      <c r="B72" s="402"/>
      <c r="C72" s="404"/>
      <c r="D72" s="309">
        <v>2200</v>
      </c>
      <c r="E72" s="123">
        <f>E67</f>
        <v>10800</v>
      </c>
      <c r="F72" s="48">
        <f t="shared" si="29"/>
        <v>31050</v>
      </c>
      <c r="G72" s="48">
        <f t="shared" si="30"/>
        <v>27000</v>
      </c>
    </row>
    <row r="73" spans="1:15" ht="24" customHeight="1" x14ac:dyDescent="0.3">
      <c r="A73" s="396"/>
      <c r="B73" s="307" t="s">
        <v>86</v>
      </c>
      <c r="C73" s="404"/>
      <c r="D73" s="309">
        <v>2300</v>
      </c>
      <c r="E73" s="123">
        <f>E68</f>
        <v>11700</v>
      </c>
      <c r="F73" s="48">
        <f t="shared" si="29"/>
        <v>33650</v>
      </c>
      <c r="G73" s="48">
        <f t="shared" si="30"/>
        <v>29260</v>
      </c>
    </row>
    <row r="74" spans="1:15" ht="24" customHeight="1" x14ac:dyDescent="0.3">
      <c r="A74" s="396"/>
      <c r="B74" s="307" t="s">
        <v>395</v>
      </c>
      <c r="C74" s="404"/>
      <c r="D74" s="309">
        <v>2400</v>
      </c>
      <c r="E74" s="123">
        <f>E69</f>
        <v>12775</v>
      </c>
      <c r="F74" s="48">
        <f t="shared" si="29"/>
        <v>36375</v>
      </c>
      <c r="G74" s="48">
        <f t="shared" si="30"/>
        <v>31655</v>
      </c>
    </row>
    <row r="75" spans="1:15" ht="14.25" customHeight="1" x14ac:dyDescent="0.3">
      <c r="A75" s="121"/>
      <c r="B75" s="329"/>
      <c r="C75" s="122"/>
      <c r="D75" s="308"/>
      <c r="E75" s="330"/>
      <c r="F75" s="73"/>
      <c r="G75" s="73"/>
    </row>
    <row r="76" spans="1:15" ht="24" customHeight="1" x14ac:dyDescent="0.3">
      <c r="A76" s="416" t="s">
        <v>174</v>
      </c>
      <c r="B76" s="416"/>
      <c r="C76" s="416"/>
      <c r="D76" s="416"/>
      <c r="E76" s="416"/>
      <c r="F76" s="416"/>
      <c r="G76" s="416"/>
    </row>
    <row r="77" spans="1:15" ht="15.6" customHeight="1" x14ac:dyDescent="0.3">
      <c r="A77" s="403" t="s">
        <v>364</v>
      </c>
      <c r="B77" s="403"/>
      <c r="C77" s="403" t="s">
        <v>68</v>
      </c>
      <c r="D77" s="403"/>
      <c r="E77" s="403"/>
      <c r="F77" s="403"/>
      <c r="G77" s="403"/>
    </row>
    <row r="78" spans="1:15" ht="24" customHeight="1" x14ac:dyDescent="0.3">
      <c r="A78" s="403"/>
      <c r="B78" s="403"/>
      <c r="C78" s="113" t="s">
        <v>65</v>
      </c>
      <c r="D78" s="113" t="s">
        <v>66</v>
      </c>
      <c r="E78" s="113" t="s">
        <v>166</v>
      </c>
      <c r="F78" s="111" t="s">
        <v>163</v>
      </c>
      <c r="G78" s="113" t="s">
        <v>88</v>
      </c>
    </row>
    <row r="79" spans="1:15" s="49" customFormat="1" ht="24" customHeight="1" x14ac:dyDescent="0.3">
      <c r="A79" s="396" t="s">
        <v>51</v>
      </c>
      <c r="B79" s="307" t="s">
        <v>365</v>
      </c>
      <c r="C79" s="419" t="s">
        <v>67</v>
      </c>
      <c r="D79" s="50">
        <v>2000</v>
      </c>
      <c r="E79" s="48">
        <v>13850</v>
      </c>
      <c r="F79" s="48">
        <f>F13+E79+F92+F97</f>
        <v>38670</v>
      </c>
      <c r="G79" s="48">
        <f>G13+E79+F92+F97</f>
        <v>35614</v>
      </c>
      <c r="J79">
        <v>12500</v>
      </c>
      <c r="K79" s="311">
        <f>E79/J79-1</f>
        <v>0.1080000000000001</v>
      </c>
      <c r="L79"/>
      <c r="M79"/>
      <c r="N79"/>
      <c r="O79"/>
    </row>
    <row r="80" spans="1:15" ht="24" customHeight="1" outlineLevel="1" x14ac:dyDescent="0.3">
      <c r="A80" s="396"/>
      <c r="B80" s="402" t="s">
        <v>365</v>
      </c>
      <c r="C80" s="420"/>
      <c r="D80" s="309">
        <v>2100</v>
      </c>
      <c r="E80" s="46">
        <f>E79</f>
        <v>13850</v>
      </c>
      <c r="F80" s="46">
        <f>F14+E80+F93+F97</f>
        <v>40240</v>
      </c>
      <c r="G80" s="46">
        <f>G14+E80+F93+F97</f>
        <v>36870</v>
      </c>
      <c r="J80">
        <v>12500</v>
      </c>
      <c r="K80" s="311">
        <f t="shared" ref="K80:K87" si="31">E80/J80-1</f>
        <v>0.1080000000000001</v>
      </c>
    </row>
    <row r="81" spans="1:15" ht="24" customHeight="1" outlineLevel="1" x14ac:dyDescent="0.3">
      <c r="A81" s="396"/>
      <c r="B81" s="402"/>
      <c r="C81" s="420"/>
      <c r="D81" s="309">
        <v>2200</v>
      </c>
      <c r="E81" s="46">
        <v>15125</v>
      </c>
      <c r="F81" s="46">
        <f>F15+E81+F94+F97</f>
        <v>43015</v>
      </c>
      <c r="G81" s="46">
        <f>G15+E81+F94+F97</f>
        <v>39345</v>
      </c>
      <c r="J81">
        <v>14400</v>
      </c>
      <c r="K81" s="311">
        <f t="shared" si="31"/>
        <v>5.0347222222222321E-2</v>
      </c>
    </row>
    <row r="82" spans="1:15" ht="24" customHeight="1" outlineLevel="1" x14ac:dyDescent="0.3">
      <c r="A82" s="396"/>
      <c r="B82" s="307" t="s">
        <v>365</v>
      </c>
      <c r="C82" s="420"/>
      <c r="D82" s="309">
        <v>2300</v>
      </c>
      <c r="E82" s="46">
        <v>15125</v>
      </c>
      <c r="F82" s="46">
        <f>F16+E82+F95+F97</f>
        <v>48495</v>
      </c>
      <c r="G82" s="46">
        <f>G16+E82+F95+F97</f>
        <v>44515</v>
      </c>
      <c r="J82">
        <v>14400</v>
      </c>
      <c r="K82" s="311">
        <f t="shared" si="31"/>
        <v>5.0347222222222321E-2</v>
      </c>
    </row>
    <row r="83" spans="1:15" ht="24" customHeight="1" outlineLevel="1" x14ac:dyDescent="0.3">
      <c r="A83" s="396"/>
      <c r="B83" s="307" t="s">
        <v>365</v>
      </c>
      <c r="C83" s="421"/>
      <c r="D83" s="309">
        <v>2400</v>
      </c>
      <c r="E83" s="46">
        <v>17753</v>
      </c>
      <c r="F83" s="46">
        <f>F17+E83+F97+F96</f>
        <v>52623</v>
      </c>
      <c r="G83" s="46">
        <f>G17+E83+F97+F96</f>
        <v>48343</v>
      </c>
      <c r="K83" s="311"/>
    </row>
    <row r="84" spans="1:15" s="49" customFormat="1" ht="24" customHeight="1" x14ac:dyDescent="0.3">
      <c r="A84" s="396"/>
      <c r="B84" s="307" t="s">
        <v>365</v>
      </c>
      <c r="C84" s="419">
        <v>900</v>
      </c>
      <c r="D84" s="50">
        <v>2000</v>
      </c>
      <c r="E84" s="48">
        <f>E79</f>
        <v>13850</v>
      </c>
      <c r="F84" s="48">
        <f>F18+E84+F92+F97</f>
        <v>40240</v>
      </c>
      <c r="G84" s="48">
        <f>G18+E84+F92+F97</f>
        <v>36870</v>
      </c>
      <c r="J84">
        <v>12500</v>
      </c>
      <c r="K84" s="311">
        <f t="shared" si="31"/>
        <v>0.1080000000000001</v>
      </c>
      <c r="L84"/>
      <c r="M84"/>
      <c r="N84"/>
      <c r="O84"/>
    </row>
    <row r="85" spans="1:15" ht="24" customHeight="1" outlineLevel="1" x14ac:dyDescent="0.3">
      <c r="A85" s="396"/>
      <c r="B85" s="402" t="s">
        <v>365</v>
      </c>
      <c r="C85" s="420"/>
      <c r="D85" s="309">
        <v>2100</v>
      </c>
      <c r="E85" s="46">
        <f>E80</f>
        <v>13850</v>
      </c>
      <c r="F85" s="46">
        <f>F19+E85+F93+F97</f>
        <v>41940</v>
      </c>
      <c r="G85" s="46">
        <f>G19+E85+F93+F97</f>
        <v>38230</v>
      </c>
      <c r="J85">
        <v>12500</v>
      </c>
      <c r="K85" s="311">
        <f t="shared" si="31"/>
        <v>0.1080000000000001</v>
      </c>
    </row>
    <row r="86" spans="1:15" ht="24" customHeight="1" outlineLevel="1" x14ac:dyDescent="0.3">
      <c r="A86" s="396"/>
      <c r="B86" s="402"/>
      <c r="C86" s="420"/>
      <c r="D86" s="309">
        <v>2200</v>
      </c>
      <c r="E86" s="46">
        <f t="shared" ref="E86:E87" si="32">E81</f>
        <v>15125</v>
      </c>
      <c r="F86" s="46">
        <f>F20+E86+F94+F97</f>
        <v>44915</v>
      </c>
      <c r="G86" s="46">
        <f>G20+E86+F94+F97</f>
        <v>40865</v>
      </c>
      <c r="J86">
        <v>14400</v>
      </c>
      <c r="K86" s="311">
        <f t="shared" si="31"/>
        <v>5.0347222222222321E-2</v>
      </c>
    </row>
    <row r="87" spans="1:15" ht="24" customHeight="1" outlineLevel="1" x14ac:dyDescent="0.3">
      <c r="A87" s="396"/>
      <c r="B87" s="307" t="s">
        <v>365</v>
      </c>
      <c r="C87" s="420"/>
      <c r="D87" s="309">
        <v>2300</v>
      </c>
      <c r="E87" s="46">
        <f t="shared" si="32"/>
        <v>15125</v>
      </c>
      <c r="F87" s="46">
        <f>F21+E87+F95+F97</f>
        <v>50545</v>
      </c>
      <c r="G87" s="46">
        <f>G21+E87+F95+F97</f>
        <v>46155</v>
      </c>
      <c r="J87">
        <v>14400</v>
      </c>
      <c r="K87" s="311">
        <f t="shared" si="31"/>
        <v>5.0347222222222321E-2</v>
      </c>
    </row>
    <row r="88" spans="1:15" ht="24" customHeight="1" outlineLevel="1" x14ac:dyDescent="0.3">
      <c r="A88" s="396"/>
      <c r="B88" s="307" t="s">
        <v>365</v>
      </c>
      <c r="C88" s="421"/>
      <c r="D88" s="309">
        <v>2400</v>
      </c>
      <c r="E88" s="46">
        <v>17350</v>
      </c>
      <c r="F88" s="46">
        <f>F22+E88+F96+F97</f>
        <v>54420</v>
      </c>
      <c r="G88" s="46">
        <f>G22+E88+F96+F97</f>
        <v>49700</v>
      </c>
      <c r="K88" s="311"/>
    </row>
    <row r="89" spans="1:15" ht="25.5" customHeight="1" outlineLevel="1" x14ac:dyDescent="0.3">
      <c r="A89" s="121"/>
      <c r="B89" s="329"/>
      <c r="C89" s="122"/>
      <c r="D89" s="308"/>
      <c r="E89" s="74"/>
      <c r="F89" s="74"/>
      <c r="G89" s="74"/>
      <c r="K89" s="311"/>
    </row>
    <row r="90" spans="1:15" x14ac:dyDescent="0.3">
      <c r="A90" s="109" t="s">
        <v>379</v>
      </c>
      <c r="B90" s="235"/>
      <c r="C90" s="215"/>
      <c r="D90" s="236"/>
      <c r="E90" s="236"/>
      <c r="F90" s="236"/>
      <c r="G90" s="236"/>
    </row>
    <row r="91" spans="1:15" ht="37.5" customHeight="1" x14ac:dyDescent="0.3">
      <c r="A91" s="417" t="s">
        <v>169</v>
      </c>
      <c r="B91" s="418"/>
      <c r="C91" s="113" t="s">
        <v>173</v>
      </c>
      <c r="D91" s="113" t="s">
        <v>66</v>
      </c>
      <c r="E91" s="113" t="s">
        <v>172</v>
      </c>
      <c r="F91" s="113" t="s">
        <v>108</v>
      </c>
      <c r="G91" s="236"/>
    </row>
    <row r="92" spans="1:15" x14ac:dyDescent="0.3">
      <c r="A92" s="422" t="s">
        <v>168</v>
      </c>
      <c r="B92" s="422" t="s">
        <v>363</v>
      </c>
      <c r="C92" s="425">
        <v>3930</v>
      </c>
      <c r="D92" s="50">
        <v>2000</v>
      </c>
      <c r="E92" s="128">
        <v>2</v>
      </c>
      <c r="F92" s="48">
        <f>$C$92*E92</f>
        <v>7860</v>
      </c>
      <c r="G92" s="236"/>
    </row>
    <row r="93" spans="1:15" x14ac:dyDescent="0.3">
      <c r="A93" s="423"/>
      <c r="B93" s="423"/>
      <c r="C93" s="426"/>
      <c r="D93" s="240">
        <v>2100</v>
      </c>
      <c r="E93" s="128">
        <v>2</v>
      </c>
      <c r="F93" s="46">
        <f t="shared" ref="F93:F96" si="33">$C$92*E93</f>
        <v>7860</v>
      </c>
      <c r="G93" s="236"/>
    </row>
    <row r="94" spans="1:15" x14ac:dyDescent="0.3">
      <c r="A94" s="423"/>
      <c r="B94" s="423"/>
      <c r="C94" s="426"/>
      <c r="D94" s="240">
        <v>2200</v>
      </c>
      <c r="E94" s="128">
        <v>2</v>
      </c>
      <c r="F94" s="46">
        <f t="shared" si="33"/>
        <v>7860</v>
      </c>
      <c r="G94" s="236"/>
    </row>
    <row r="95" spans="1:15" x14ac:dyDescent="0.3">
      <c r="A95" s="423"/>
      <c r="B95" s="423"/>
      <c r="C95" s="426"/>
      <c r="D95" s="240">
        <v>2300</v>
      </c>
      <c r="E95" s="128">
        <v>3</v>
      </c>
      <c r="F95" s="46">
        <f t="shared" si="33"/>
        <v>11790</v>
      </c>
      <c r="G95" s="236"/>
    </row>
    <row r="96" spans="1:15" x14ac:dyDescent="0.3">
      <c r="A96" s="424"/>
      <c r="B96" s="424"/>
      <c r="C96" s="427"/>
      <c r="D96" s="309">
        <v>2400</v>
      </c>
      <c r="E96" s="128">
        <v>3</v>
      </c>
      <c r="F96" s="46">
        <f t="shared" si="33"/>
        <v>11790</v>
      </c>
      <c r="G96" s="305"/>
    </row>
    <row r="97" spans="1:10" ht="27.75" customHeight="1" x14ac:dyDescent="0.3">
      <c r="A97" s="129" t="s">
        <v>170</v>
      </c>
      <c r="B97" s="241" t="s">
        <v>171</v>
      </c>
      <c r="C97" s="131">
        <v>1680</v>
      </c>
      <c r="D97" s="132"/>
      <c r="E97" s="132">
        <v>1</v>
      </c>
      <c r="F97" s="48">
        <f>$C$97*E97</f>
        <v>1680</v>
      </c>
      <c r="G97" s="236"/>
    </row>
    <row r="98" spans="1:10" x14ac:dyDescent="0.3">
      <c r="A98" s="53"/>
      <c r="B98" s="53"/>
      <c r="C98" s="37"/>
      <c r="D98" s="54"/>
      <c r="E98" s="54"/>
      <c r="F98" s="54"/>
      <c r="G98" s="54"/>
      <c r="H98" s="54"/>
      <c r="I98" s="54"/>
      <c r="J98" s="54"/>
    </row>
    <row r="99" spans="1:10" x14ac:dyDescent="0.3">
      <c r="A99" s="109" t="s">
        <v>384</v>
      </c>
      <c r="B99" s="235"/>
      <c r="C99" s="215"/>
      <c r="D99" s="236"/>
      <c r="E99" s="236"/>
      <c r="F99" s="236"/>
      <c r="G99" s="236"/>
    </row>
    <row r="100" spans="1:10" ht="38.25" customHeight="1" x14ac:dyDescent="0.3">
      <c r="A100" s="417" t="s">
        <v>169</v>
      </c>
      <c r="B100" s="418"/>
      <c r="C100" s="113" t="s">
        <v>173</v>
      </c>
      <c r="D100" s="113" t="s">
        <v>66</v>
      </c>
      <c r="E100" s="113" t="s">
        <v>172</v>
      </c>
      <c r="F100" s="113" t="s">
        <v>108</v>
      </c>
      <c r="G100" s="54"/>
    </row>
    <row r="101" spans="1:10" x14ac:dyDescent="0.3">
      <c r="A101" s="422" t="s">
        <v>168</v>
      </c>
      <c r="B101" s="422" t="s">
        <v>167</v>
      </c>
      <c r="C101" s="425">
        <v>3420</v>
      </c>
      <c r="D101" s="50">
        <v>2000</v>
      </c>
      <c r="E101" s="128">
        <v>2</v>
      </c>
      <c r="F101" s="48">
        <f>$C$101*E101</f>
        <v>6840</v>
      </c>
      <c r="G101" s="54"/>
    </row>
    <row r="102" spans="1:10" x14ac:dyDescent="0.3">
      <c r="A102" s="423"/>
      <c r="B102" s="423"/>
      <c r="C102" s="426"/>
      <c r="D102" s="45">
        <v>2100</v>
      </c>
      <c r="E102" s="128">
        <v>2</v>
      </c>
      <c r="F102" s="46">
        <f>$C$101*E102</f>
        <v>6840</v>
      </c>
      <c r="G102" s="54"/>
    </row>
    <row r="103" spans="1:10" x14ac:dyDescent="0.3">
      <c r="A103" s="423"/>
      <c r="B103" s="423"/>
      <c r="C103" s="426"/>
      <c r="D103" s="45">
        <v>2200</v>
      </c>
      <c r="E103" s="128">
        <v>2</v>
      </c>
      <c r="F103" s="46">
        <f>$C$101*E103</f>
        <v>6840</v>
      </c>
      <c r="G103" s="54"/>
    </row>
    <row r="104" spans="1:10" x14ac:dyDescent="0.3">
      <c r="A104" s="423"/>
      <c r="B104" s="423"/>
      <c r="C104" s="426"/>
      <c r="D104" s="45">
        <v>2300</v>
      </c>
      <c r="E104" s="128">
        <v>3</v>
      </c>
      <c r="F104" s="46">
        <f>$C$101*E104</f>
        <v>10260</v>
      </c>
      <c r="G104" s="54"/>
    </row>
    <row r="105" spans="1:10" x14ac:dyDescent="0.3">
      <c r="A105" s="424"/>
      <c r="B105" s="424"/>
      <c r="C105" s="427"/>
      <c r="D105" s="309">
        <v>2400</v>
      </c>
      <c r="E105" s="128">
        <v>3</v>
      </c>
      <c r="F105" s="46">
        <f>$C$101*E105</f>
        <v>10260</v>
      </c>
      <c r="G105" s="305"/>
    </row>
    <row r="106" spans="1:10" ht="27.75" customHeight="1" x14ac:dyDescent="0.3">
      <c r="A106" s="129" t="s">
        <v>170</v>
      </c>
      <c r="B106" s="130" t="s">
        <v>171</v>
      </c>
      <c r="C106" s="131">
        <v>1680</v>
      </c>
      <c r="D106" s="132"/>
      <c r="E106" s="132">
        <v>1</v>
      </c>
      <c r="F106" s="48">
        <f>$C$106*E106</f>
        <v>1680</v>
      </c>
      <c r="G106" s="54"/>
    </row>
    <row r="157" spans="1:7" ht="15" customHeight="1" x14ac:dyDescent="0.3"/>
    <row r="158" spans="1:7" x14ac:dyDescent="0.3">
      <c r="A158" s="39"/>
      <c r="B158" s="39"/>
    </row>
    <row r="159" spans="1:7" x14ac:dyDescent="0.3">
      <c r="B159" s="39"/>
      <c r="C159" s="40"/>
      <c r="D159" s="40"/>
      <c r="E159" s="40"/>
      <c r="F159" s="40"/>
      <c r="G159" s="40"/>
    </row>
    <row r="160" spans="1:7" x14ac:dyDescent="0.3">
      <c r="A160" s="39"/>
      <c r="B160" s="39"/>
    </row>
    <row r="161" spans="1:2" x14ac:dyDescent="0.3">
      <c r="A161" s="39"/>
      <c r="B161" s="39"/>
    </row>
    <row r="162" spans="1:2" x14ac:dyDescent="0.3">
      <c r="A162" s="39"/>
      <c r="B162" s="39"/>
    </row>
    <row r="163" spans="1:2" x14ac:dyDescent="0.3">
      <c r="A163" s="39"/>
      <c r="B163" s="39"/>
    </row>
    <row r="164" spans="1:2" x14ac:dyDescent="0.3">
      <c r="A164" s="39"/>
      <c r="B164" s="39"/>
    </row>
    <row r="165" spans="1:2" x14ac:dyDescent="0.3">
      <c r="A165" s="39"/>
      <c r="B165" s="39"/>
    </row>
    <row r="166" spans="1:2" x14ac:dyDescent="0.3">
      <c r="A166" s="39"/>
      <c r="B166" s="39"/>
    </row>
    <row r="167" spans="1:2" x14ac:dyDescent="0.3">
      <c r="A167" s="39"/>
      <c r="B167" s="39"/>
    </row>
    <row r="168" spans="1:2" x14ac:dyDescent="0.3">
      <c r="A168" s="39"/>
      <c r="B168" s="39"/>
    </row>
    <row r="169" spans="1:2" x14ac:dyDescent="0.3">
      <c r="A169" s="39"/>
      <c r="B169" s="39"/>
    </row>
    <row r="170" spans="1:2" x14ac:dyDescent="0.3">
      <c r="A170" s="39"/>
      <c r="B170" s="39"/>
    </row>
    <row r="171" spans="1:2" x14ac:dyDescent="0.3">
      <c r="A171" s="39"/>
      <c r="B171" s="39"/>
    </row>
    <row r="172" spans="1:2" x14ac:dyDescent="0.3">
      <c r="A172" s="39"/>
      <c r="B172" s="39"/>
    </row>
    <row r="173" spans="1:2" x14ac:dyDescent="0.3">
      <c r="A173" s="39"/>
      <c r="B173" s="39"/>
    </row>
    <row r="174" spans="1:2" x14ac:dyDescent="0.3">
      <c r="A174" s="39"/>
      <c r="B174" s="39"/>
    </row>
    <row r="175" spans="1:2" x14ac:dyDescent="0.3">
      <c r="A175" s="39"/>
      <c r="B175" s="39"/>
    </row>
    <row r="176" spans="1:2" x14ac:dyDescent="0.3">
      <c r="A176" s="39"/>
      <c r="B176" s="39"/>
    </row>
    <row r="177" spans="1:2" x14ac:dyDescent="0.3">
      <c r="A177" s="39"/>
      <c r="B177" s="39"/>
    </row>
    <row r="178" spans="1:2" x14ac:dyDescent="0.3">
      <c r="A178" s="39"/>
      <c r="B178" s="39"/>
    </row>
    <row r="179" spans="1:2" x14ac:dyDescent="0.3">
      <c r="A179" s="39"/>
      <c r="B179" s="39"/>
    </row>
    <row r="180" spans="1:2" x14ac:dyDescent="0.3">
      <c r="A180" s="39"/>
      <c r="B180" s="39"/>
    </row>
    <row r="181" spans="1:2" x14ac:dyDescent="0.3">
      <c r="A181" s="39"/>
      <c r="B181" s="39"/>
    </row>
  </sheetData>
  <mergeCells count="51">
    <mergeCell ref="A101:A105"/>
    <mergeCell ref="B101:B105"/>
    <mergeCell ref="C101:C105"/>
    <mergeCell ref="A48:G48"/>
    <mergeCell ref="A49:B50"/>
    <mergeCell ref="C49:G49"/>
    <mergeCell ref="B52:B53"/>
    <mergeCell ref="A51:A60"/>
    <mergeCell ref="C51:C55"/>
    <mergeCell ref="C56:C60"/>
    <mergeCell ref="B57:B58"/>
    <mergeCell ref="A61:B61"/>
    <mergeCell ref="E61:G61"/>
    <mergeCell ref="A62:G62"/>
    <mergeCell ref="A63:B64"/>
    <mergeCell ref="C63:G63"/>
    <mergeCell ref="A45:G45"/>
    <mergeCell ref="A27:G27"/>
    <mergeCell ref="A28:B29"/>
    <mergeCell ref="D28:G28"/>
    <mergeCell ref="A35:B39"/>
    <mergeCell ref="A40:B44"/>
    <mergeCell ref="A13:B22"/>
    <mergeCell ref="C13:C17"/>
    <mergeCell ref="C18:C22"/>
    <mergeCell ref="A30:B34"/>
    <mergeCell ref="A3:G3"/>
    <mergeCell ref="A4:G4"/>
    <mergeCell ref="A10:G10"/>
    <mergeCell ref="A11:B12"/>
    <mergeCell ref="C11:F11"/>
    <mergeCell ref="A25:G25"/>
    <mergeCell ref="A24:G24"/>
    <mergeCell ref="A65:A74"/>
    <mergeCell ref="C65:C69"/>
    <mergeCell ref="B66:B67"/>
    <mergeCell ref="C70:C74"/>
    <mergeCell ref="B71:B72"/>
    <mergeCell ref="A77:B78"/>
    <mergeCell ref="C77:G77"/>
    <mergeCell ref="B80:B81"/>
    <mergeCell ref="A76:G76"/>
    <mergeCell ref="A100:B100"/>
    <mergeCell ref="B85:B86"/>
    <mergeCell ref="A91:B91"/>
    <mergeCell ref="A79:A88"/>
    <mergeCell ref="C79:C83"/>
    <mergeCell ref="C84:C88"/>
    <mergeCell ref="B92:B96"/>
    <mergeCell ref="A92:A96"/>
    <mergeCell ref="C92:C96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45" max="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9"/>
  <sheetViews>
    <sheetView view="pageBreakPreview" topLeftCell="A103" zoomScaleNormal="100" zoomScaleSheetLayoutView="100" workbookViewId="0">
      <selection activeCell="E113" sqref="E113"/>
    </sheetView>
  </sheetViews>
  <sheetFormatPr defaultRowHeight="14.4" outlineLevelRow="1" outlineLevelCol="1" x14ac:dyDescent="0.3"/>
  <cols>
    <col min="1" max="1" width="11.6640625" customWidth="1"/>
    <col min="2" max="2" width="24" bestFit="1" customWidth="1"/>
    <col min="3" max="7" width="12.6640625" customWidth="1"/>
    <col min="8" max="8" width="9.109375" hidden="1" customWidth="1" outlineLevel="1"/>
    <col min="9" max="9" width="11.44140625" hidden="1" customWidth="1" outlineLevel="1"/>
    <col min="10" max="10" width="0" hidden="1" customWidth="1" collapsed="1"/>
    <col min="11" max="12" width="0" hidden="1" customWidth="1"/>
  </cols>
  <sheetData>
    <row r="1" spans="1:11" s="58" customFormat="1" ht="18.75" customHeight="1" x14ac:dyDescent="0.3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 x14ac:dyDescent="0.3">
      <c r="A2" s="91"/>
      <c r="B2" s="57"/>
      <c r="C2" s="57"/>
      <c r="D2" s="57"/>
      <c r="E2" s="57"/>
      <c r="F2"/>
      <c r="G2"/>
    </row>
    <row r="3" spans="1:11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1" ht="17.399999999999999" x14ac:dyDescent="0.3">
      <c r="A4" s="397" t="s">
        <v>57</v>
      </c>
      <c r="B4" s="397"/>
      <c r="C4" s="397"/>
      <c r="D4" s="397"/>
      <c r="E4" s="397"/>
      <c r="F4" s="397"/>
      <c r="G4" s="397"/>
    </row>
    <row r="5" spans="1:11" ht="9" customHeight="1" x14ac:dyDescent="0.3">
      <c r="A5" s="33"/>
      <c r="B5" s="33"/>
      <c r="C5" s="33"/>
      <c r="D5" s="33"/>
      <c r="E5" s="33"/>
      <c r="F5" s="33"/>
      <c r="G5" s="33"/>
    </row>
    <row r="6" spans="1:11" ht="9" customHeight="1" x14ac:dyDescent="0.3">
      <c r="A6" s="33"/>
      <c r="B6" s="33"/>
      <c r="C6" s="33"/>
      <c r="D6" s="33"/>
      <c r="E6" s="33"/>
      <c r="F6" s="33"/>
      <c r="G6" s="33"/>
    </row>
    <row r="7" spans="1:11" ht="144" customHeight="1" x14ac:dyDescent="0.3">
      <c r="C7" s="1"/>
      <c r="D7" s="1"/>
      <c r="E7" s="1"/>
      <c r="F7" s="1"/>
      <c r="G7" s="1"/>
    </row>
    <row r="8" spans="1:11" ht="20.25" customHeight="1" x14ac:dyDescent="0.3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 x14ac:dyDescent="0.3">
      <c r="A9" s="36"/>
      <c r="B9" s="36"/>
      <c r="C9" s="36"/>
      <c r="D9" s="36"/>
      <c r="E9" s="36"/>
      <c r="F9" s="36"/>
      <c r="G9" s="36"/>
    </row>
    <row r="10" spans="1:11" ht="15.6" customHeight="1" x14ac:dyDescent="0.3">
      <c r="A10" s="408" t="s">
        <v>136</v>
      </c>
      <c r="B10" s="409"/>
      <c r="C10" s="409"/>
      <c r="D10" s="409"/>
      <c r="E10" s="409"/>
      <c r="F10" s="409"/>
      <c r="G10" s="410"/>
    </row>
    <row r="11" spans="1:11" ht="15.6" customHeight="1" x14ac:dyDescent="0.3">
      <c r="A11" s="403" t="s">
        <v>83</v>
      </c>
      <c r="B11" s="403"/>
      <c r="C11" s="405" t="s">
        <v>68</v>
      </c>
      <c r="D11" s="406"/>
      <c r="E11" s="406"/>
      <c r="F11" s="406"/>
      <c r="G11" s="126"/>
    </row>
    <row r="12" spans="1:11" x14ac:dyDescent="0.3">
      <c r="A12" s="403"/>
      <c r="B12" s="403"/>
      <c r="C12" s="112" t="s">
        <v>65</v>
      </c>
      <c r="D12" s="112" t="s">
        <v>66</v>
      </c>
      <c r="E12" s="112" t="s">
        <v>69</v>
      </c>
      <c r="F12" s="112" t="s">
        <v>87</v>
      </c>
      <c r="G12" s="112" t="s">
        <v>88</v>
      </c>
      <c r="H12" s="65" t="s">
        <v>140</v>
      </c>
      <c r="I12" s="65" t="s">
        <v>141</v>
      </c>
    </row>
    <row r="13" spans="1:11" s="49" customFormat="1" ht="27" customHeight="1" x14ac:dyDescent="0.3">
      <c r="A13" s="396" t="s">
        <v>161</v>
      </c>
      <c r="B13" s="396"/>
      <c r="C13" s="404" t="s">
        <v>67</v>
      </c>
      <c r="D13" s="50">
        <v>2000</v>
      </c>
      <c r="E13" s="50" t="s">
        <v>70</v>
      </c>
      <c r="F13" s="48">
        <f>база!F25+база!J1</f>
        <v>31280</v>
      </c>
      <c r="G13" s="48">
        <f>F13*(1-$G$8)</f>
        <v>25024</v>
      </c>
      <c r="H13" s="48">
        <f>F13*0.61</f>
        <v>19080.8</v>
      </c>
      <c r="I13" s="48">
        <f>H13*(1-$I$8)</f>
        <v>17172.72</v>
      </c>
      <c r="J13" s="49">
        <v>27450</v>
      </c>
      <c r="K13" s="310">
        <f>F13/J13-1</f>
        <v>0.13952641165755919</v>
      </c>
    </row>
    <row r="14" spans="1:11" ht="25.5" customHeight="1" outlineLevel="1" x14ac:dyDescent="0.3">
      <c r="A14" s="396"/>
      <c r="B14" s="396"/>
      <c r="C14" s="404"/>
      <c r="D14" s="309">
        <v>2100</v>
      </c>
      <c r="E14" s="47">
        <v>0.1</v>
      </c>
      <c r="F14" s="46">
        <f>CEILING(F13*(1+E14), 50)</f>
        <v>34450</v>
      </c>
      <c r="G14" s="46">
        <f t="shared" ref="G14:G21" si="0">F14*(1-$G$8)</f>
        <v>27560</v>
      </c>
      <c r="H14" s="48">
        <f t="shared" ref="H14:H21" si="1">F14*0.61</f>
        <v>21014.5</v>
      </c>
      <c r="I14" s="46">
        <f t="shared" ref="I14:I21" si="2">H14*(1-$I$8)</f>
        <v>18913.05</v>
      </c>
      <c r="J14">
        <v>30200</v>
      </c>
      <c r="K14" s="310">
        <f t="shared" ref="K14:K21" si="3">F14/J14-1</f>
        <v>0.14072847682119205</v>
      </c>
    </row>
    <row r="15" spans="1:11" ht="25.5" customHeight="1" outlineLevel="1" x14ac:dyDescent="0.3">
      <c r="A15" s="396"/>
      <c r="B15" s="396"/>
      <c r="C15" s="404"/>
      <c r="D15" s="309">
        <v>2200</v>
      </c>
      <c r="E15" s="47">
        <v>0.2</v>
      </c>
      <c r="F15" s="46">
        <f>CEILING(F13*(1+E15), 50)</f>
        <v>37550</v>
      </c>
      <c r="G15" s="46">
        <f t="shared" si="0"/>
        <v>30040</v>
      </c>
      <c r="H15" s="48">
        <f t="shared" si="1"/>
        <v>22905.5</v>
      </c>
      <c r="I15" s="46">
        <f t="shared" si="2"/>
        <v>20614.95</v>
      </c>
      <c r="J15">
        <v>32950</v>
      </c>
      <c r="K15" s="310">
        <f t="shared" si="3"/>
        <v>0.13960546282245834</v>
      </c>
    </row>
    <row r="16" spans="1:11" ht="25.5" customHeight="1" outlineLevel="1" x14ac:dyDescent="0.3">
      <c r="A16" s="396"/>
      <c r="B16" s="396"/>
      <c r="C16" s="404"/>
      <c r="D16" s="309">
        <v>2300</v>
      </c>
      <c r="E16" s="47">
        <v>0.3</v>
      </c>
      <c r="F16" s="46">
        <f>CEILING(F13*(1+E16), 50)</f>
        <v>40700</v>
      </c>
      <c r="G16" s="46">
        <f t="shared" si="0"/>
        <v>32560</v>
      </c>
      <c r="H16" s="48">
        <f t="shared" si="1"/>
        <v>24827</v>
      </c>
      <c r="I16" s="46">
        <f t="shared" si="2"/>
        <v>22344.3</v>
      </c>
      <c r="J16">
        <v>35700</v>
      </c>
      <c r="K16" s="310">
        <f t="shared" si="3"/>
        <v>0.14005602240896353</v>
      </c>
    </row>
    <row r="17" spans="1:11" ht="25.5" customHeight="1" outlineLevel="1" x14ac:dyDescent="0.3">
      <c r="A17" s="396"/>
      <c r="B17" s="396"/>
      <c r="C17" s="404"/>
      <c r="D17" s="309">
        <v>2400</v>
      </c>
      <c r="E17" s="47">
        <v>0.4</v>
      </c>
      <c r="F17" s="46">
        <f>CEILING(F13*(1+E17), 50)</f>
        <v>43800</v>
      </c>
      <c r="G17" s="46">
        <f>F17*(1-$G$8)</f>
        <v>35040</v>
      </c>
      <c r="H17" s="48"/>
      <c r="I17" s="46"/>
      <c r="K17" s="310"/>
    </row>
    <row r="18" spans="1:11" s="49" customFormat="1" ht="27" customHeight="1" x14ac:dyDescent="0.3">
      <c r="A18" s="396"/>
      <c r="B18" s="396"/>
      <c r="C18" s="404">
        <v>900</v>
      </c>
      <c r="D18" s="50">
        <v>2000</v>
      </c>
      <c r="E18" s="50" t="s">
        <v>70</v>
      </c>
      <c r="F18" s="48">
        <f>CEILING(F13*(1+10%), 50)</f>
        <v>34450</v>
      </c>
      <c r="G18" s="48">
        <f t="shared" si="0"/>
        <v>27560</v>
      </c>
      <c r="H18" s="48">
        <f t="shared" si="1"/>
        <v>21014.5</v>
      </c>
      <c r="I18" s="48">
        <f t="shared" si="2"/>
        <v>18913.05</v>
      </c>
      <c r="J18" s="49">
        <v>30200</v>
      </c>
      <c r="K18" s="310">
        <f t="shared" si="3"/>
        <v>0.14072847682119205</v>
      </c>
    </row>
    <row r="19" spans="1:11" ht="25.5" customHeight="1" outlineLevel="1" x14ac:dyDescent="0.3">
      <c r="A19" s="396"/>
      <c r="B19" s="396"/>
      <c r="C19" s="404"/>
      <c r="D19" s="309">
        <v>2100</v>
      </c>
      <c r="E19" s="47">
        <v>0.1</v>
      </c>
      <c r="F19" s="46">
        <f>CEILING(F18*(1+E19), 50)</f>
        <v>37900</v>
      </c>
      <c r="G19" s="46">
        <f t="shared" si="0"/>
        <v>30320</v>
      </c>
      <c r="H19" s="48">
        <f t="shared" si="1"/>
        <v>23119</v>
      </c>
      <c r="I19" s="46">
        <f t="shared" si="2"/>
        <v>20807.100000000002</v>
      </c>
      <c r="J19">
        <v>33250</v>
      </c>
      <c r="K19" s="310">
        <f t="shared" si="3"/>
        <v>0.13984962406015033</v>
      </c>
    </row>
    <row r="20" spans="1:11" ht="25.5" customHeight="1" outlineLevel="1" x14ac:dyDescent="0.3">
      <c r="A20" s="396"/>
      <c r="B20" s="396"/>
      <c r="C20" s="404"/>
      <c r="D20" s="309">
        <v>2200</v>
      </c>
      <c r="E20" s="47">
        <v>0.2</v>
      </c>
      <c r="F20" s="46">
        <f>CEILING(F18*(1+E20), 50)</f>
        <v>41350</v>
      </c>
      <c r="G20" s="46">
        <f t="shared" si="0"/>
        <v>33080</v>
      </c>
      <c r="H20" s="48">
        <f t="shared" si="1"/>
        <v>25223.5</v>
      </c>
      <c r="I20" s="46">
        <f t="shared" si="2"/>
        <v>22701.15</v>
      </c>
      <c r="J20">
        <v>36250</v>
      </c>
      <c r="K20" s="310">
        <f t="shared" si="3"/>
        <v>0.14068965517241372</v>
      </c>
    </row>
    <row r="21" spans="1:11" ht="25.5" customHeight="1" outlineLevel="1" x14ac:dyDescent="0.3">
      <c r="A21" s="396"/>
      <c r="B21" s="396"/>
      <c r="C21" s="404"/>
      <c r="D21" s="309">
        <v>2300</v>
      </c>
      <c r="E21" s="47">
        <v>0.3</v>
      </c>
      <c r="F21" s="46">
        <f>CEILING(F18*(1+E21), 50)</f>
        <v>44800</v>
      </c>
      <c r="G21" s="46">
        <f t="shared" si="0"/>
        <v>35840</v>
      </c>
      <c r="H21" s="48">
        <f t="shared" si="1"/>
        <v>27328</v>
      </c>
      <c r="I21" s="46">
        <f t="shared" si="2"/>
        <v>24595.200000000001</v>
      </c>
      <c r="J21">
        <v>39300</v>
      </c>
      <c r="K21" s="310">
        <f t="shared" si="3"/>
        <v>0.13994910941475824</v>
      </c>
    </row>
    <row r="22" spans="1:11" ht="25.5" customHeight="1" outlineLevel="1" x14ac:dyDescent="0.3">
      <c r="A22" s="396"/>
      <c r="B22" s="396"/>
      <c r="C22" s="404"/>
      <c r="D22" s="309">
        <v>2400</v>
      </c>
      <c r="E22" s="47">
        <v>0.4</v>
      </c>
      <c r="F22" s="46">
        <f>CEILING(F18*(1+E22), 50)</f>
        <v>48250</v>
      </c>
      <c r="G22" s="46">
        <f>F22*(1-$G$8)</f>
        <v>38600</v>
      </c>
      <c r="H22" s="73"/>
      <c r="I22" s="74"/>
      <c r="K22" s="310"/>
    </row>
    <row r="23" spans="1:11" ht="15" customHeight="1" x14ac:dyDescent="0.3">
      <c r="A23" s="36"/>
      <c r="B23" s="36"/>
      <c r="C23" s="36"/>
      <c r="D23" s="36"/>
      <c r="E23" s="36"/>
      <c r="F23" s="36"/>
      <c r="G23" s="36"/>
    </row>
    <row r="24" spans="1:11" ht="15.6" customHeight="1" x14ac:dyDescent="0.3">
      <c r="A24" s="158" t="s">
        <v>231</v>
      </c>
      <c r="B24" s="36"/>
      <c r="C24" s="36"/>
      <c r="D24" s="36"/>
      <c r="E24" s="36"/>
      <c r="F24" s="36"/>
      <c r="G24" s="36"/>
    </row>
    <row r="25" spans="1:11" ht="15.6" customHeight="1" x14ac:dyDescent="0.3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 x14ac:dyDescent="0.3">
      <c r="A26" s="408" t="s">
        <v>194</v>
      </c>
      <c r="B26" s="409"/>
      <c r="C26" s="409"/>
      <c r="D26" s="409"/>
      <c r="E26" s="409">
        <v>1.1000000000000001</v>
      </c>
      <c r="F26" s="409">
        <v>1.2</v>
      </c>
      <c r="G26" s="410">
        <v>1.45</v>
      </c>
    </row>
    <row r="27" spans="1:11" ht="15.6" customHeight="1" x14ac:dyDescent="0.3">
      <c r="A27" s="436" t="s">
        <v>175</v>
      </c>
      <c r="B27" s="436"/>
      <c r="C27" s="120"/>
      <c r="D27" s="437" t="s">
        <v>144</v>
      </c>
      <c r="E27" s="437"/>
      <c r="F27" s="437"/>
      <c r="G27" s="437"/>
      <c r="H27" s="107"/>
      <c r="I27" s="107"/>
    </row>
    <row r="28" spans="1:11" ht="37.5" customHeight="1" x14ac:dyDescent="0.3">
      <c r="A28" s="436"/>
      <c r="B28" s="436"/>
      <c r="C28" s="112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 x14ac:dyDescent="0.3">
      <c r="A29" s="438" t="s">
        <v>162</v>
      </c>
      <c r="B29" s="438"/>
      <c r="C29" s="50">
        <v>2000</v>
      </c>
      <c r="D29" s="285" t="s">
        <v>368</v>
      </c>
      <c r="E29" s="46">
        <f>'Vetro18, 20, 21'!E29</f>
        <v>500</v>
      </c>
      <c r="F29" s="46">
        <f>'Vetro18, 20, 21'!F29</f>
        <v>1500</v>
      </c>
      <c r="G29" s="46">
        <f>'Vetro18, 20, 21'!G29</f>
        <v>2550</v>
      </c>
      <c r="H29" s="107"/>
      <c r="I29" s="107"/>
    </row>
    <row r="30" spans="1:11" ht="15.6" customHeight="1" outlineLevel="1" x14ac:dyDescent="0.3">
      <c r="A30" s="438"/>
      <c r="B30" s="438"/>
      <c r="C30" s="309">
        <v>2100</v>
      </c>
      <c r="D30" s="285" t="s">
        <v>368</v>
      </c>
      <c r="E30" s="46">
        <f>'Vetro18, 20, 21'!E30</f>
        <v>550</v>
      </c>
      <c r="F30" s="46">
        <f>'Vetro18, 20, 21'!F30</f>
        <v>1650.0000000000002</v>
      </c>
      <c r="G30" s="46">
        <f>'Vetro18, 20, 21'!G30</f>
        <v>2805</v>
      </c>
    </row>
    <row r="31" spans="1:11" ht="15.6" customHeight="1" outlineLevel="1" x14ac:dyDescent="0.3">
      <c r="A31" s="438"/>
      <c r="B31" s="438"/>
      <c r="C31" s="309">
        <v>2200</v>
      </c>
      <c r="D31" s="285" t="s">
        <v>368</v>
      </c>
      <c r="E31" s="46">
        <f>'Vetro18, 20, 21'!E31</f>
        <v>600</v>
      </c>
      <c r="F31" s="46">
        <f>'Vetro18, 20, 21'!F31</f>
        <v>1800</v>
      </c>
      <c r="G31" s="46">
        <f>'Vetro18, 20, 21'!G31</f>
        <v>3060</v>
      </c>
    </row>
    <row r="32" spans="1:11" ht="15.6" customHeight="1" outlineLevel="1" x14ac:dyDescent="0.3">
      <c r="A32" s="438"/>
      <c r="B32" s="438"/>
      <c r="C32" s="309">
        <v>2300</v>
      </c>
      <c r="D32" s="285" t="s">
        <v>368</v>
      </c>
      <c r="E32" s="46">
        <f>'Vetro18, 20, 21'!E32</f>
        <v>650</v>
      </c>
      <c r="F32" s="46">
        <f>'Vetro18, 20, 21'!F32</f>
        <v>1950</v>
      </c>
      <c r="G32" s="46">
        <f>'Vetro18, 20, 21'!G32</f>
        <v>3315</v>
      </c>
    </row>
    <row r="33" spans="1:9" ht="15.6" customHeight="1" outlineLevel="1" x14ac:dyDescent="0.3">
      <c r="A33" s="438"/>
      <c r="B33" s="438"/>
      <c r="C33" s="309">
        <v>2400</v>
      </c>
      <c r="D33" s="285" t="s">
        <v>368</v>
      </c>
      <c r="E33" s="46">
        <f>'Vetro18, 20, 21'!E33</f>
        <v>770</v>
      </c>
      <c r="F33" s="46">
        <f>'Vetro18, 20, 21'!F33</f>
        <v>2310</v>
      </c>
      <c r="G33" s="46">
        <f>'Vetro18, 20, 21'!G33</f>
        <v>3926.9999999999995</v>
      </c>
    </row>
    <row r="34" spans="1:9" ht="15.6" customHeight="1" x14ac:dyDescent="0.3">
      <c r="A34" s="63"/>
      <c r="B34" s="36"/>
      <c r="C34" s="36"/>
      <c r="D34" s="36"/>
      <c r="E34" s="36"/>
      <c r="F34" s="36"/>
      <c r="G34" s="36"/>
    </row>
    <row r="35" spans="1:9" ht="15.6" customHeight="1" x14ac:dyDescent="0.3">
      <c r="A35" s="408" t="s">
        <v>152</v>
      </c>
      <c r="B35" s="409"/>
      <c r="C35" s="409"/>
      <c r="D35" s="409"/>
      <c r="E35" s="409">
        <v>1.1000000000000001</v>
      </c>
      <c r="F35" s="409">
        <v>1.2</v>
      </c>
      <c r="G35" s="410">
        <v>1.45</v>
      </c>
    </row>
    <row r="36" spans="1:9" ht="15.6" customHeight="1" x14ac:dyDescent="0.3">
      <c r="A36" s="451" t="s">
        <v>83</v>
      </c>
      <c r="B36" s="452"/>
      <c r="C36" s="439" t="s">
        <v>153</v>
      </c>
      <c r="D36" s="440"/>
      <c r="E36" s="440"/>
      <c r="F36" s="440"/>
      <c r="G36" s="440"/>
      <c r="H36" s="107"/>
      <c r="I36" s="107"/>
    </row>
    <row r="37" spans="1:9" ht="21.75" customHeight="1" x14ac:dyDescent="0.3">
      <c r="A37" s="453"/>
      <c r="B37" s="454"/>
      <c r="C37" s="112" t="s">
        <v>65</v>
      </c>
      <c r="D37" s="112" t="s">
        <v>66</v>
      </c>
      <c r="E37" s="112" t="s">
        <v>155</v>
      </c>
      <c r="F37" s="112" t="s">
        <v>156</v>
      </c>
      <c r="G37" s="112" t="s">
        <v>157</v>
      </c>
      <c r="H37" s="107"/>
      <c r="I37" s="107"/>
    </row>
    <row r="38" spans="1:9" ht="15.6" customHeight="1" x14ac:dyDescent="0.3">
      <c r="A38" s="396" t="s">
        <v>161</v>
      </c>
      <c r="B38" s="396"/>
      <c r="C38" s="404" t="s">
        <v>67</v>
      </c>
      <c r="D38" s="50">
        <v>2000</v>
      </c>
      <c r="E38" s="285" t="s">
        <v>368</v>
      </c>
      <c r="F38" s="46">
        <f>декоры!F36-декоры!E36</f>
        <v>4100</v>
      </c>
      <c r="G38" s="46">
        <f>декоры!G36-декоры!E36</f>
        <v>4100</v>
      </c>
      <c r="H38" s="107"/>
      <c r="I38" s="107"/>
    </row>
    <row r="39" spans="1:9" ht="15.6" customHeight="1" outlineLevel="1" x14ac:dyDescent="0.3">
      <c r="A39" s="396"/>
      <c r="B39" s="396"/>
      <c r="C39" s="404"/>
      <c r="D39" s="309">
        <v>2100</v>
      </c>
      <c r="E39" s="285" t="s">
        <v>368</v>
      </c>
      <c r="F39" s="46">
        <f>декоры!F37-декоры!E37</f>
        <v>4510.0000000000018</v>
      </c>
      <c r="G39" s="46">
        <f>декоры!G37-декоры!E37</f>
        <v>4510.0000000000018</v>
      </c>
      <c r="H39" s="107"/>
      <c r="I39" s="107"/>
    </row>
    <row r="40" spans="1:9" ht="15.6" customHeight="1" outlineLevel="1" x14ac:dyDescent="0.3">
      <c r="A40" s="396"/>
      <c r="B40" s="396"/>
      <c r="C40" s="404"/>
      <c r="D40" s="309">
        <v>2200</v>
      </c>
      <c r="E40" s="285" t="s">
        <v>368</v>
      </c>
      <c r="F40" s="46">
        <f>декоры!F38-декоры!E38</f>
        <v>4920</v>
      </c>
      <c r="G40" s="46">
        <f>декоры!G38-декоры!E38</f>
        <v>4920</v>
      </c>
      <c r="H40" s="107"/>
      <c r="I40" s="107"/>
    </row>
    <row r="41" spans="1:9" ht="15.6" customHeight="1" outlineLevel="1" x14ac:dyDescent="0.3">
      <c r="A41" s="396"/>
      <c r="B41" s="396"/>
      <c r="C41" s="404"/>
      <c r="D41" s="309">
        <v>2300</v>
      </c>
      <c r="E41" s="285" t="s">
        <v>368</v>
      </c>
      <c r="F41" s="46">
        <f>декоры!F39-декоры!E39</f>
        <v>5330</v>
      </c>
      <c r="G41" s="46">
        <f>декоры!G39-декоры!E39</f>
        <v>5330</v>
      </c>
      <c r="H41" s="107"/>
      <c r="I41" s="107"/>
    </row>
    <row r="42" spans="1:9" ht="15.6" customHeight="1" outlineLevel="1" x14ac:dyDescent="0.3">
      <c r="A42" s="396"/>
      <c r="B42" s="396"/>
      <c r="C42" s="404"/>
      <c r="D42" s="309">
        <v>2400</v>
      </c>
      <c r="E42" s="285" t="s">
        <v>368</v>
      </c>
      <c r="F42" s="46">
        <f>декоры!F40-декоры!E40</f>
        <v>5740</v>
      </c>
      <c r="G42" s="46">
        <f>декоры!G40-декоры!E40</f>
        <v>5740</v>
      </c>
      <c r="H42" s="107"/>
      <c r="I42" s="107"/>
    </row>
    <row r="43" spans="1:9" ht="15.6" customHeight="1" x14ac:dyDescent="0.3">
      <c r="A43" s="396"/>
      <c r="B43" s="396"/>
      <c r="C43" s="404">
        <v>900</v>
      </c>
      <c r="D43" s="50">
        <v>2000</v>
      </c>
      <c r="E43" s="285" t="s">
        <v>368</v>
      </c>
      <c r="F43" s="46">
        <f>декоры!F41-декоры!E41</f>
        <v>4510.0000000000018</v>
      </c>
      <c r="G43" s="46">
        <f>декоры!G41-декоры!E41</f>
        <v>4510.0000000000018</v>
      </c>
      <c r="H43" s="107"/>
      <c r="I43" s="107"/>
    </row>
    <row r="44" spans="1:9" ht="15.6" customHeight="1" outlineLevel="1" x14ac:dyDescent="0.3">
      <c r="A44" s="396"/>
      <c r="B44" s="396"/>
      <c r="C44" s="404"/>
      <c r="D44" s="309">
        <v>2100</v>
      </c>
      <c r="E44" s="285" t="s">
        <v>368</v>
      </c>
      <c r="F44" s="46">
        <f>декоры!F42-декоры!E42</f>
        <v>4961.0000000000018</v>
      </c>
      <c r="G44" s="46">
        <f>декоры!G42-декоры!E42</f>
        <v>4961.0000000000018</v>
      </c>
      <c r="H44" s="107"/>
      <c r="I44" s="107"/>
    </row>
    <row r="45" spans="1:9" ht="15.6" customHeight="1" outlineLevel="1" x14ac:dyDescent="0.3">
      <c r="A45" s="396"/>
      <c r="B45" s="396"/>
      <c r="C45" s="404"/>
      <c r="D45" s="309">
        <v>2200</v>
      </c>
      <c r="E45" s="285" t="s">
        <v>368</v>
      </c>
      <c r="F45" s="46">
        <f>декоры!F43-декоры!E43</f>
        <v>5411.9999999999982</v>
      </c>
      <c r="G45" s="46">
        <f>декоры!G43-декоры!E43</f>
        <v>5411.9999999999982</v>
      </c>
      <c r="H45" s="107"/>
      <c r="I45" s="107"/>
    </row>
    <row r="46" spans="1:9" ht="15.6" customHeight="1" outlineLevel="1" x14ac:dyDescent="0.3">
      <c r="A46" s="396"/>
      <c r="B46" s="396"/>
      <c r="C46" s="404"/>
      <c r="D46" s="309">
        <v>2300</v>
      </c>
      <c r="E46" s="285" t="s">
        <v>368</v>
      </c>
      <c r="F46" s="46">
        <f>декоры!F44-декоры!E44</f>
        <v>5862.9999999999982</v>
      </c>
      <c r="G46" s="46">
        <f>декоры!G44-декоры!E44</f>
        <v>5862.9999999999982</v>
      </c>
      <c r="H46" s="107"/>
      <c r="I46" s="107"/>
    </row>
    <row r="47" spans="1:9" ht="15.6" customHeight="1" outlineLevel="1" x14ac:dyDescent="0.3">
      <c r="A47" s="396"/>
      <c r="B47" s="396"/>
      <c r="C47" s="404"/>
      <c r="D47" s="309">
        <v>2400</v>
      </c>
      <c r="E47" s="285" t="s">
        <v>368</v>
      </c>
      <c r="F47" s="46">
        <f>декоры!F45-декоры!E45</f>
        <v>6313.9999999999982</v>
      </c>
      <c r="G47" s="46">
        <f>декоры!G45-декоры!E45</f>
        <v>6313.9999999999982</v>
      </c>
      <c r="H47" s="107"/>
      <c r="I47" s="107"/>
    </row>
    <row r="48" spans="1:9" ht="15.6" customHeight="1" x14ac:dyDescent="0.3">
      <c r="A48" s="124"/>
      <c r="B48" s="125"/>
      <c r="C48" s="439" t="s">
        <v>159</v>
      </c>
      <c r="D48" s="440"/>
      <c r="E48" s="440"/>
      <c r="F48" s="440"/>
      <c r="G48" s="441"/>
      <c r="H48" s="107"/>
      <c r="I48" s="107"/>
    </row>
    <row r="49" spans="1:11" ht="15.6" customHeight="1" x14ac:dyDescent="0.3">
      <c r="A49" s="442" t="s">
        <v>161</v>
      </c>
      <c r="B49" s="443"/>
      <c r="C49" s="419" t="s">
        <v>67</v>
      </c>
      <c r="D49" s="50">
        <v>2000</v>
      </c>
      <c r="E49" s="46">
        <f>декоры!E47-декоры!E36</f>
        <v>5700</v>
      </c>
      <c r="F49" s="46">
        <f>декоры!F47-декоры!E36</f>
        <v>9900</v>
      </c>
      <c r="G49" s="46">
        <f>декоры!G47-декоры!E36</f>
        <v>9900</v>
      </c>
      <c r="H49" s="107"/>
      <c r="I49" s="107"/>
      <c r="J49" s="127"/>
      <c r="K49" s="127"/>
    </row>
    <row r="50" spans="1:11" ht="15.6" customHeight="1" outlineLevel="1" x14ac:dyDescent="0.3">
      <c r="A50" s="444"/>
      <c r="B50" s="445"/>
      <c r="C50" s="420"/>
      <c r="D50" s="108">
        <v>2100</v>
      </c>
      <c r="E50" s="46">
        <f>декоры!E48-декоры!E37</f>
        <v>6270</v>
      </c>
      <c r="F50" s="46">
        <f>декоры!F48-декоры!E37</f>
        <v>10890</v>
      </c>
      <c r="G50" s="46">
        <f>декоры!G48-декоры!E37</f>
        <v>10890</v>
      </c>
      <c r="H50" s="107"/>
      <c r="I50" s="107"/>
    </row>
    <row r="51" spans="1:11" ht="15.6" customHeight="1" outlineLevel="1" x14ac:dyDescent="0.3">
      <c r="A51" s="444"/>
      <c r="B51" s="445"/>
      <c r="C51" s="420"/>
      <c r="D51" s="108">
        <v>2200</v>
      </c>
      <c r="E51" s="46">
        <f>декоры!E49-декоры!E38</f>
        <v>6840</v>
      </c>
      <c r="F51" s="46">
        <f>декоры!F49-декоры!E38</f>
        <v>11880</v>
      </c>
      <c r="G51" s="46">
        <f>декоры!G49-декоры!E38</f>
        <v>11880</v>
      </c>
      <c r="H51" s="107"/>
      <c r="I51" s="107"/>
    </row>
    <row r="52" spans="1:11" ht="15.6" customHeight="1" outlineLevel="1" x14ac:dyDescent="0.3">
      <c r="A52" s="444"/>
      <c r="B52" s="445"/>
      <c r="C52" s="420"/>
      <c r="D52" s="108">
        <v>2300</v>
      </c>
      <c r="E52" s="46">
        <f>декоры!E50-декоры!E39</f>
        <v>7410</v>
      </c>
      <c r="F52" s="46">
        <f>декоры!F50-декоры!E39</f>
        <v>12870</v>
      </c>
      <c r="G52" s="46">
        <f>декоры!G50-декоры!E39</f>
        <v>12870</v>
      </c>
      <c r="H52" s="107"/>
      <c r="I52" s="107"/>
    </row>
    <row r="53" spans="1:11" ht="15.6" customHeight="1" outlineLevel="1" x14ac:dyDescent="0.3">
      <c r="A53" s="444"/>
      <c r="B53" s="445"/>
      <c r="C53" s="421"/>
      <c r="D53" s="309">
        <v>2400</v>
      </c>
      <c r="E53" s="46">
        <f>декоры!E51-декоры!E40</f>
        <v>7980</v>
      </c>
      <c r="F53" s="46">
        <f>декоры!F51-декоры!E40</f>
        <v>13860</v>
      </c>
      <c r="G53" s="46">
        <f>декоры!G51-декоры!E40</f>
        <v>13860</v>
      </c>
      <c r="H53" s="107"/>
      <c r="I53" s="107"/>
    </row>
    <row r="54" spans="1:11" ht="15.6" customHeight="1" x14ac:dyDescent="0.3">
      <c r="A54" s="444"/>
      <c r="B54" s="445"/>
      <c r="C54" s="448">
        <v>900</v>
      </c>
      <c r="D54" s="50">
        <v>2000</v>
      </c>
      <c r="E54" s="46">
        <f>декоры!E52-декоры!E41</f>
        <v>6270</v>
      </c>
      <c r="F54" s="46">
        <f>декоры!F52-декоры!E41</f>
        <v>10890</v>
      </c>
      <c r="G54" s="46">
        <f>декоры!G52-декоры!E41</f>
        <v>10890</v>
      </c>
      <c r="H54" s="107"/>
      <c r="I54" s="107"/>
    </row>
    <row r="55" spans="1:11" ht="15.6" customHeight="1" outlineLevel="1" x14ac:dyDescent="0.3">
      <c r="A55" s="444"/>
      <c r="B55" s="445"/>
      <c r="C55" s="449"/>
      <c r="D55" s="108">
        <v>2100</v>
      </c>
      <c r="E55" s="46">
        <f>декоры!E53-декоры!E42</f>
        <v>6905.9999999999982</v>
      </c>
      <c r="F55" s="46">
        <f>декоры!F53-декоры!E42</f>
        <v>11985.999999999998</v>
      </c>
      <c r="G55" s="46">
        <f>декоры!G53-декоры!E42</f>
        <v>11979.000000000002</v>
      </c>
      <c r="H55" s="107"/>
      <c r="I55" s="107"/>
    </row>
    <row r="56" spans="1:11" ht="15.6" customHeight="1" outlineLevel="1" x14ac:dyDescent="0.3">
      <c r="A56" s="444"/>
      <c r="B56" s="445"/>
      <c r="C56" s="449"/>
      <c r="D56" s="108">
        <v>2200</v>
      </c>
      <c r="E56" s="46">
        <f>декоры!E54-декоры!E43</f>
        <v>7531.9999999999982</v>
      </c>
      <c r="F56" s="46">
        <f>декоры!F54-декоры!E43</f>
        <v>13071.999999999998</v>
      </c>
      <c r="G56" s="46">
        <f>декоры!G54-декоры!E43</f>
        <v>13068.000000000002</v>
      </c>
      <c r="H56" s="107"/>
      <c r="I56" s="107"/>
    </row>
    <row r="57" spans="1:11" ht="15.6" customHeight="1" outlineLevel="1" x14ac:dyDescent="0.3">
      <c r="A57" s="444"/>
      <c r="B57" s="445"/>
      <c r="C57" s="449"/>
      <c r="D57" s="108">
        <v>2300</v>
      </c>
      <c r="E57" s="46">
        <f>декоры!E55-декоры!E44</f>
        <v>8157.9999999999982</v>
      </c>
      <c r="F57" s="46">
        <f>декоры!F55-декоры!E44</f>
        <v>14157.999999999998</v>
      </c>
      <c r="G57" s="46">
        <f>декоры!G55-декоры!E44</f>
        <v>14157.000000000002</v>
      </c>
      <c r="H57" s="107"/>
      <c r="I57" s="107"/>
    </row>
    <row r="58" spans="1:11" ht="15.6" customHeight="1" outlineLevel="1" x14ac:dyDescent="0.3">
      <c r="A58" s="446"/>
      <c r="B58" s="447"/>
      <c r="C58" s="450"/>
      <c r="D58" s="331">
        <v>2400</v>
      </c>
      <c r="E58" s="332"/>
      <c r="F58" s="332"/>
      <c r="G58" s="333"/>
      <c r="H58" s="107"/>
      <c r="I58" s="107"/>
    </row>
    <row r="59" spans="1:11" ht="15.6" customHeight="1" x14ac:dyDescent="0.3">
      <c r="A59" s="114"/>
      <c r="B59" s="115"/>
      <c r="C59" s="439" t="s">
        <v>154</v>
      </c>
      <c r="D59" s="440"/>
      <c r="E59" s="440"/>
      <c r="F59" s="440"/>
      <c r="G59" s="441"/>
      <c r="H59" s="107"/>
      <c r="I59" s="107"/>
    </row>
    <row r="60" spans="1:11" ht="48" customHeight="1" x14ac:dyDescent="0.3">
      <c r="A60" s="116"/>
      <c r="B60" s="117"/>
      <c r="C60" s="112" t="s">
        <v>65</v>
      </c>
      <c r="D60" s="112" t="s">
        <v>66</v>
      </c>
      <c r="E60" s="237" t="s">
        <v>325</v>
      </c>
      <c r="F60" s="237" t="s">
        <v>391</v>
      </c>
      <c r="G60" s="238" t="s">
        <v>158</v>
      </c>
      <c r="H60" s="107"/>
      <c r="I60" s="107"/>
    </row>
    <row r="61" spans="1:11" ht="15.6" customHeight="1" x14ac:dyDescent="0.3">
      <c r="A61" s="396" t="s">
        <v>161</v>
      </c>
      <c r="B61" s="396"/>
      <c r="C61" s="404" t="s">
        <v>67</v>
      </c>
      <c r="D61" s="50">
        <v>2000</v>
      </c>
      <c r="E61" s="285" t="s">
        <v>368</v>
      </c>
      <c r="F61" s="285">
        <f>декоры!F59-декоры!E59</f>
        <v>800</v>
      </c>
      <c r="G61" s="334">
        <f>декоры!G59-декоры!E59</f>
        <v>2350</v>
      </c>
      <c r="H61" s="107"/>
      <c r="I61" s="107"/>
    </row>
    <row r="62" spans="1:11" ht="15.6" customHeight="1" outlineLevel="1" x14ac:dyDescent="0.3">
      <c r="A62" s="396"/>
      <c r="B62" s="396"/>
      <c r="C62" s="404"/>
      <c r="D62" s="309">
        <v>2100</v>
      </c>
      <c r="E62" s="285" t="s">
        <v>368</v>
      </c>
      <c r="F62" s="285">
        <f>декоры!F60-декоры!E60</f>
        <v>870</v>
      </c>
      <c r="G62" s="334">
        <f>декоры!G60-декоры!E60</f>
        <v>2620</v>
      </c>
      <c r="H62" s="107"/>
      <c r="I62" s="107"/>
    </row>
    <row r="63" spans="1:11" ht="15.6" customHeight="1" outlineLevel="1" x14ac:dyDescent="0.3">
      <c r="A63" s="396"/>
      <c r="B63" s="396"/>
      <c r="C63" s="404"/>
      <c r="D63" s="309">
        <v>2200</v>
      </c>
      <c r="E63" s="285" t="s">
        <v>368</v>
      </c>
      <c r="F63" s="285">
        <f>декоры!F61-декоры!E61</f>
        <v>940</v>
      </c>
      <c r="G63" s="334">
        <f>декоры!G61-декоры!E61</f>
        <v>2840</v>
      </c>
      <c r="H63" s="107"/>
      <c r="I63" s="107"/>
    </row>
    <row r="64" spans="1:11" ht="15.6" customHeight="1" outlineLevel="1" x14ac:dyDescent="0.3">
      <c r="A64" s="396"/>
      <c r="B64" s="396"/>
      <c r="C64" s="404"/>
      <c r="D64" s="309">
        <v>2300</v>
      </c>
      <c r="E64" s="285" t="s">
        <v>368</v>
      </c>
      <c r="F64" s="285">
        <f>декоры!F62-декоры!E62</f>
        <v>1060</v>
      </c>
      <c r="G64" s="334">
        <f>декоры!G62-декоры!E62</f>
        <v>3060</v>
      </c>
      <c r="H64" s="107"/>
      <c r="I64" s="107"/>
    </row>
    <row r="65" spans="1:14" ht="15.6" customHeight="1" outlineLevel="1" x14ac:dyDescent="0.3">
      <c r="A65" s="396"/>
      <c r="B65" s="396"/>
      <c r="C65" s="404"/>
      <c r="D65" s="309">
        <v>2400</v>
      </c>
      <c r="E65" s="285" t="s">
        <v>368</v>
      </c>
      <c r="F65" s="285">
        <f>декоры!F63-декоры!E63</f>
        <v>1130</v>
      </c>
      <c r="G65" s="334">
        <f>декоры!G63-декоры!E63</f>
        <v>3280</v>
      </c>
      <c r="H65" s="107"/>
      <c r="I65" s="107"/>
    </row>
    <row r="66" spans="1:14" ht="15.6" customHeight="1" x14ac:dyDescent="0.3">
      <c r="A66" s="396"/>
      <c r="B66" s="396"/>
      <c r="C66" s="404">
        <v>900</v>
      </c>
      <c r="D66" s="50">
        <v>2000</v>
      </c>
      <c r="E66" s="285" t="s">
        <v>368</v>
      </c>
      <c r="F66" s="285">
        <f>декоры!F64-декоры!E64</f>
        <v>870</v>
      </c>
      <c r="G66" s="334">
        <f>декоры!G64-декоры!E64</f>
        <v>2620</v>
      </c>
      <c r="H66" s="107"/>
      <c r="I66" s="107"/>
    </row>
    <row r="67" spans="1:14" ht="15.6" customHeight="1" outlineLevel="1" x14ac:dyDescent="0.3">
      <c r="A67" s="396"/>
      <c r="B67" s="396"/>
      <c r="C67" s="404"/>
      <c r="D67" s="309">
        <v>2100</v>
      </c>
      <c r="E67" s="285" t="s">
        <v>368</v>
      </c>
      <c r="F67" s="285">
        <f>декоры!F65-декоры!E65</f>
        <v>960</v>
      </c>
      <c r="G67" s="334">
        <f>декоры!G65-декоры!E65</f>
        <v>2860</v>
      </c>
      <c r="H67" s="107"/>
      <c r="I67" s="107"/>
    </row>
    <row r="68" spans="1:14" ht="15.6" customHeight="1" outlineLevel="1" x14ac:dyDescent="0.3">
      <c r="A68" s="396"/>
      <c r="B68" s="396"/>
      <c r="C68" s="404"/>
      <c r="D68" s="309">
        <v>2200</v>
      </c>
      <c r="E68" s="285" t="s">
        <v>368</v>
      </c>
      <c r="F68" s="285">
        <f>декоры!F66-декоры!E66</f>
        <v>1050</v>
      </c>
      <c r="G68" s="334">
        <f>декоры!G66-декоры!E66</f>
        <v>3100</v>
      </c>
      <c r="H68" s="107"/>
      <c r="I68" s="107"/>
    </row>
    <row r="69" spans="1:14" ht="15.6" customHeight="1" outlineLevel="1" x14ac:dyDescent="0.3">
      <c r="A69" s="396"/>
      <c r="B69" s="396"/>
      <c r="C69" s="404"/>
      <c r="D69" s="309">
        <v>2300</v>
      </c>
      <c r="E69" s="285" t="s">
        <v>368</v>
      </c>
      <c r="F69" s="285">
        <f>декоры!F67-декоры!E67</f>
        <v>1140</v>
      </c>
      <c r="G69" s="334">
        <f>декоры!G67-декоры!E67</f>
        <v>3390</v>
      </c>
      <c r="H69" s="107"/>
      <c r="I69" s="107"/>
    </row>
    <row r="70" spans="1:14" ht="15.6" customHeight="1" outlineLevel="1" x14ac:dyDescent="0.3">
      <c r="A70" s="396"/>
      <c r="B70" s="396"/>
      <c r="C70" s="404"/>
      <c r="D70" s="309">
        <v>2400</v>
      </c>
      <c r="E70" s="285" t="s">
        <v>368</v>
      </c>
      <c r="F70" s="285">
        <f>декоры!F68-декоры!E68</f>
        <v>1230</v>
      </c>
      <c r="G70" s="334">
        <f>декоры!G68-декоры!E68</f>
        <v>3630</v>
      </c>
      <c r="H70" s="107"/>
      <c r="I70" s="107"/>
    </row>
    <row r="71" spans="1:14" ht="26.25" customHeight="1" x14ac:dyDescent="0.3">
      <c r="A71" s="455" t="s">
        <v>418</v>
      </c>
      <c r="B71" s="455"/>
      <c r="C71" s="455"/>
      <c r="D71" s="455"/>
      <c r="E71" s="455"/>
      <c r="F71" s="455"/>
      <c r="G71" s="455"/>
    </row>
    <row r="72" spans="1:14" ht="26.25" customHeight="1" x14ac:dyDescent="0.3">
      <c r="A72" s="136"/>
      <c r="B72" s="136"/>
      <c r="C72" s="136"/>
      <c r="D72" s="136"/>
      <c r="E72" s="136"/>
      <c r="F72" s="136"/>
      <c r="G72" s="136"/>
    </row>
    <row r="73" spans="1:14" ht="15.6" customHeight="1" x14ac:dyDescent="0.3">
      <c r="A73" s="105" t="s">
        <v>142</v>
      </c>
      <c r="B73" s="36"/>
      <c r="C73" s="36"/>
      <c r="D73" s="36"/>
      <c r="E73" s="36"/>
      <c r="F73" s="36"/>
      <c r="G73" s="36"/>
    </row>
    <row r="74" spans="1:14" ht="15.6" customHeight="1" x14ac:dyDescent="0.3">
      <c r="A74" s="284" t="s">
        <v>361</v>
      </c>
      <c r="B74" s="36"/>
      <c r="C74" s="36"/>
      <c r="D74" s="36"/>
      <c r="E74" s="36"/>
      <c r="F74" s="36"/>
      <c r="G74" s="36"/>
    </row>
    <row r="75" spans="1:14" ht="15.6" customHeight="1" x14ac:dyDescent="0.3">
      <c r="A75" s="407" t="s">
        <v>138</v>
      </c>
      <c r="B75" s="407"/>
      <c r="C75" s="407"/>
      <c r="D75" s="407"/>
      <c r="E75" s="407"/>
      <c r="F75" s="407"/>
      <c r="G75" s="407"/>
    </row>
    <row r="76" spans="1:14" ht="15.6" customHeight="1" x14ac:dyDescent="0.3">
      <c r="A76" s="403" t="s">
        <v>396</v>
      </c>
      <c r="B76" s="403"/>
      <c r="C76" s="403" t="s">
        <v>68</v>
      </c>
      <c r="D76" s="403"/>
      <c r="E76" s="403"/>
      <c r="F76" s="403"/>
      <c r="G76" s="403"/>
    </row>
    <row r="77" spans="1:14" ht="24" customHeight="1" x14ac:dyDescent="0.3">
      <c r="A77" s="403"/>
      <c r="B77" s="403"/>
      <c r="C77" s="113" t="s">
        <v>65</v>
      </c>
      <c r="D77" s="113" t="s">
        <v>66</v>
      </c>
      <c r="E77" s="113" t="s">
        <v>166</v>
      </c>
      <c r="F77" s="306" t="s">
        <v>163</v>
      </c>
      <c r="G77" s="113" t="s">
        <v>88</v>
      </c>
    </row>
    <row r="78" spans="1:14" s="49" customFormat="1" ht="27" customHeight="1" x14ac:dyDescent="0.3">
      <c r="A78" s="396" t="s">
        <v>64</v>
      </c>
      <c r="B78" s="307" t="s">
        <v>137</v>
      </c>
      <c r="C78" s="404" t="s">
        <v>67</v>
      </c>
      <c r="D78" s="50">
        <v>2000</v>
      </c>
      <c r="E78" s="48">
        <f>Twist!E31</f>
        <v>7450</v>
      </c>
      <c r="F78" s="48">
        <f>E78+F13</f>
        <v>38730</v>
      </c>
      <c r="G78" s="48">
        <f>G13+E78</f>
        <v>32474</v>
      </c>
      <c r="J78"/>
      <c r="K78"/>
      <c r="L78"/>
      <c r="M78"/>
      <c r="N78"/>
    </row>
    <row r="79" spans="1:14" ht="25.5" customHeight="1" outlineLevel="1" x14ac:dyDescent="0.3">
      <c r="A79" s="396"/>
      <c r="B79" s="402" t="s">
        <v>85</v>
      </c>
      <c r="C79" s="404"/>
      <c r="D79" s="309">
        <v>2100</v>
      </c>
      <c r="E79" s="48">
        <f>Twist!E32</f>
        <v>8200</v>
      </c>
      <c r="F79" s="48">
        <f t="shared" ref="F79:F86" si="4">E79+F14</f>
        <v>42650</v>
      </c>
      <c r="G79" s="48">
        <f t="shared" ref="G79:G87" si="5">G14+E79</f>
        <v>35760</v>
      </c>
    </row>
    <row r="80" spans="1:14" ht="25.5" customHeight="1" outlineLevel="1" x14ac:dyDescent="0.3">
      <c r="A80" s="396"/>
      <c r="B80" s="402"/>
      <c r="C80" s="404"/>
      <c r="D80" s="309">
        <v>2200</v>
      </c>
      <c r="E80" s="48">
        <f>Twist!E33</f>
        <v>8200</v>
      </c>
      <c r="F80" s="48">
        <f t="shared" si="4"/>
        <v>45750</v>
      </c>
      <c r="G80" s="48">
        <f t="shared" si="5"/>
        <v>38240</v>
      </c>
    </row>
    <row r="81" spans="1:14" ht="25.5" customHeight="1" outlineLevel="1" x14ac:dyDescent="0.3">
      <c r="A81" s="396"/>
      <c r="B81" s="307" t="s">
        <v>86</v>
      </c>
      <c r="C81" s="404"/>
      <c r="D81" s="309">
        <v>2300</v>
      </c>
      <c r="E81" s="48">
        <f>Twist!E34</f>
        <v>9100</v>
      </c>
      <c r="F81" s="48">
        <f t="shared" si="4"/>
        <v>49800</v>
      </c>
      <c r="G81" s="48">
        <f t="shared" si="5"/>
        <v>41660</v>
      </c>
    </row>
    <row r="82" spans="1:14" s="49" customFormat="1" ht="27" customHeight="1" x14ac:dyDescent="0.3">
      <c r="A82" s="396"/>
      <c r="B82" s="307" t="s">
        <v>395</v>
      </c>
      <c r="C82" s="404"/>
      <c r="D82" s="309">
        <v>2400</v>
      </c>
      <c r="E82" s="48">
        <f>Twist!E35</f>
        <v>9700</v>
      </c>
      <c r="F82" s="48">
        <f t="shared" si="4"/>
        <v>53500</v>
      </c>
      <c r="G82" s="48">
        <f t="shared" si="5"/>
        <v>44740</v>
      </c>
      <c r="J82"/>
      <c r="K82"/>
      <c r="L82"/>
      <c r="M82"/>
      <c r="N82"/>
    </row>
    <row r="83" spans="1:14" ht="25.5" customHeight="1" outlineLevel="1" x14ac:dyDescent="0.3">
      <c r="A83" s="396"/>
      <c r="B83" s="307" t="s">
        <v>137</v>
      </c>
      <c r="C83" s="404">
        <v>900</v>
      </c>
      <c r="D83" s="50">
        <v>2000</v>
      </c>
      <c r="E83" s="48">
        <f>Twist!E36</f>
        <v>7450</v>
      </c>
      <c r="F83" s="48">
        <f t="shared" si="4"/>
        <v>41900</v>
      </c>
      <c r="G83" s="48">
        <f t="shared" si="5"/>
        <v>35010</v>
      </c>
    </row>
    <row r="84" spans="1:14" ht="25.5" customHeight="1" outlineLevel="1" x14ac:dyDescent="0.3">
      <c r="A84" s="396"/>
      <c r="B84" s="402" t="s">
        <v>85</v>
      </c>
      <c r="C84" s="404"/>
      <c r="D84" s="309">
        <v>2100</v>
      </c>
      <c r="E84" s="48">
        <f>Twist!E37</f>
        <v>8200</v>
      </c>
      <c r="F84" s="48">
        <f t="shared" si="4"/>
        <v>46100</v>
      </c>
      <c r="G84" s="48">
        <f t="shared" si="5"/>
        <v>38520</v>
      </c>
    </row>
    <row r="85" spans="1:14" ht="25.5" customHeight="1" outlineLevel="1" x14ac:dyDescent="0.3">
      <c r="A85" s="396"/>
      <c r="B85" s="402"/>
      <c r="C85" s="404"/>
      <c r="D85" s="309">
        <v>2200</v>
      </c>
      <c r="E85" s="48">
        <f>Twist!E38</f>
        <v>8200</v>
      </c>
      <c r="F85" s="48">
        <f t="shared" si="4"/>
        <v>49550</v>
      </c>
      <c r="G85" s="48">
        <f t="shared" si="5"/>
        <v>41280</v>
      </c>
    </row>
    <row r="86" spans="1:14" ht="25.5" customHeight="1" outlineLevel="1" x14ac:dyDescent="0.3">
      <c r="A86" s="396"/>
      <c r="B86" s="307" t="s">
        <v>86</v>
      </c>
      <c r="C86" s="404"/>
      <c r="D86" s="309">
        <v>2300</v>
      </c>
      <c r="E86" s="48">
        <f>Twist!E39</f>
        <v>9100</v>
      </c>
      <c r="F86" s="48">
        <f t="shared" si="4"/>
        <v>53900</v>
      </c>
      <c r="G86" s="48">
        <f t="shared" si="5"/>
        <v>44940</v>
      </c>
    </row>
    <row r="87" spans="1:14" ht="25.5" customHeight="1" outlineLevel="1" x14ac:dyDescent="0.3">
      <c r="A87" s="396"/>
      <c r="B87" s="307" t="s">
        <v>395</v>
      </c>
      <c r="C87" s="404"/>
      <c r="D87" s="309">
        <v>2400</v>
      </c>
      <c r="E87" s="48">
        <f>Twist!E40</f>
        <v>9700</v>
      </c>
      <c r="F87" s="48">
        <f>E87+F22</f>
        <v>57950</v>
      </c>
      <c r="G87" s="48">
        <f t="shared" si="5"/>
        <v>48300</v>
      </c>
    </row>
    <row r="88" spans="1:14" x14ac:dyDescent="0.3">
      <c r="A88" s="412"/>
      <c r="B88" s="412"/>
      <c r="C88" s="215"/>
      <c r="D88" s="305"/>
      <c r="E88" s="413"/>
      <c r="F88" s="413"/>
      <c r="G88" s="413"/>
    </row>
    <row r="89" spans="1:14" ht="15.6" customHeight="1" x14ac:dyDescent="0.3">
      <c r="A89" s="407" t="s">
        <v>164</v>
      </c>
      <c r="B89" s="407"/>
      <c r="C89" s="407"/>
      <c r="D89" s="407"/>
      <c r="E89" s="407"/>
      <c r="F89" s="407"/>
      <c r="G89" s="407"/>
    </row>
    <row r="90" spans="1:14" ht="15.6" customHeight="1" x14ac:dyDescent="0.3">
      <c r="A90" s="403" t="s">
        <v>397</v>
      </c>
      <c r="B90" s="403"/>
      <c r="C90" s="403" t="s">
        <v>68</v>
      </c>
      <c r="D90" s="403"/>
      <c r="E90" s="403"/>
      <c r="F90" s="403"/>
      <c r="G90" s="403"/>
    </row>
    <row r="91" spans="1:14" ht="24" customHeight="1" x14ac:dyDescent="0.3">
      <c r="A91" s="403"/>
      <c r="B91" s="403"/>
      <c r="C91" s="113" t="s">
        <v>65</v>
      </c>
      <c r="D91" s="113" t="s">
        <v>66</v>
      </c>
      <c r="E91" s="113" t="s">
        <v>166</v>
      </c>
      <c r="F91" s="306" t="s">
        <v>87</v>
      </c>
      <c r="G91" s="113" t="s">
        <v>88</v>
      </c>
    </row>
    <row r="92" spans="1:14" s="49" customFormat="1" ht="27" customHeight="1" x14ac:dyDescent="0.3">
      <c r="A92" s="396" t="s">
        <v>64</v>
      </c>
      <c r="B92" s="307" t="s">
        <v>137</v>
      </c>
      <c r="C92" s="404" t="s">
        <v>67</v>
      </c>
      <c r="D92" s="50">
        <v>2000</v>
      </c>
      <c r="E92" s="123">
        <f>Twist!E45</f>
        <v>9800</v>
      </c>
      <c r="F92" s="48">
        <f>E92+F13</f>
        <v>41080</v>
      </c>
      <c r="G92" s="48">
        <f>G13+E92</f>
        <v>34824</v>
      </c>
      <c r="J92"/>
      <c r="K92"/>
      <c r="L92"/>
      <c r="M92"/>
      <c r="N92"/>
    </row>
    <row r="93" spans="1:14" ht="25.5" customHeight="1" outlineLevel="1" x14ac:dyDescent="0.3">
      <c r="A93" s="396"/>
      <c r="B93" s="402" t="s">
        <v>85</v>
      </c>
      <c r="C93" s="404"/>
      <c r="D93" s="309">
        <v>2100</v>
      </c>
      <c r="E93" s="123">
        <f>Twist!E46</f>
        <v>10800</v>
      </c>
      <c r="F93" s="48">
        <f t="shared" ref="F93:F100" si="6">E93+F14</f>
        <v>45250</v>
      </c>
      <c r="G93" s="48">
        <f t="shared" ref="G93:G101" si="7">G14+E93</f>
        <v>38360</v>
      </c>
    </row>
    <row r="94" spans="1:14" ht="25.5" customHeight="1" outlineLevel="1" x14ac:dyDescent="0.3">
      <c r="A94" s="396"/>
      <c r="B94" s="402"/>
      <c r="C94" s="404"/>
      <c r="D94" s="309">
        <v>2200</v>
      </c>
      <c r="E94" s="123">
        <f>Twist!E47</f>
        <v>10800</v>
      </c>
      <c r="F94" s="48">
        <f t="shared" si="6"/>
        <v>48350</v>
      </c>
      <c r="G94" s="48">
        <f t="shared" si="7"/>
        <v>40840</v>
      </c>
    </row>
    <row r="95" spans="1:14" ht="25.5" customHeight="1" outlineLevel="1" x14ac:dyDescent="0.3">
      <c r="A95" s="396"/>
      <c r="B95" s="307" t="s">
        <v>86</v>
      </c>
      <c r="C95" s="404"/>
      <c r="D95" s="309">
        <v>2300</v>
      </c>
      <c r="E95" s="123">
        <f>Twist!E48</f>
        <v>11700</v>
      </c>
      <c r="F95" s="48">
        <f t="shared" si="6"/>
        <v>52400</v>
      </c>
      <c r="G95" s="48">
        <f t="shared" si="7"/>
        <v>44260</v>
      </c>
    </row>
    <row r="96" spans="1:14" s="49" customFormat="1" ht="27" customHeight="1" x14ac:dyDescent="0.3">
      <c r="A96" s="396"/>
      <c r="B96" s="307" t="s">
        <v>395</v>
      </c>
      <c r="C96" s="404"/>
      <c r="D96" s="309">
        <v>2400</v>
      </c>
      <c r="E96" s="123">
        <f>Twist!E49</f>
        <v>12775</v>
      </c>
      <c r="F96" s="48">
        <f t="shared" si="6"/>
        <v>56575</v>
      </c>
      <c r="G96" s="48">
        <f t="shared" si="7"/>
        <v>47815</v>
      </c>
      <c r="J96"/>
      <c r="K96"/>
      <c r="L96"/>
      <c r="M96"/>
      <c r="N96"/>
    </row>
    <row r="97" spans="1:14" ht="25.5" customHeight="1" outlineLevel="1" x14ac:dyDescent="0.3">
      <c r="A97" s="396"/>
      <c r="B97" s="307" t="s">
        <v>137</v>
      </c>
      <c r="C97" s="404">
        <v>900</v>
      </c>
      <c r="D97" s="50">
        <v>2000</v>
      </c>
      <c r="E97" s="123">
        <f>Twist!E50</f>
        <v>9800</v>
      </c>
      <c r="F97" s="48">
        <f t="shared" si="6"/>
        <v>44250</v>
      </c>
      <c r="G97" s="48">
        <f t="shared" si="7"/>
        <v>37360</v>
      </c>
    </row>
    <row r="98" spans="1:14" ht="25.5" customHeight="1" outlineLevel="1" x14ac:dyDescent="0.3">
      <c r="A98" s="396"/>
      <c r="B98" s="402" t="s">
        <v>85</v>
      </c>
      <c r="C98" s="404"/>
      <c r="D98" s="309">
        <v>2100</v>
      </c>
      <c r="E98" s="123">
        <f>Twist!E51</f>
        <v>10800</v>
      </c>
      <c r="F98" s="48">
        <f t="shared" si="6"/>
        <v>48700</v>
      </c>
      <c r="G98" s="48">
        <f t="shared" si="7"/>
        <v>41120</v>
      </c>
    </row>
    <row r="99" spans="1:14" ht="25.5" customHeight="1" outlineLevel="1" x14ac:dyDescent="0.3">
      <c r="A99" s="396"/>
      <c r="B99" s="402"/>
      <c r="C99" s="404"/>
      <c r="D99" s="309">
        <v>2200</v>
      </c>
      <c r="E99" s="123">
        <f>Twist!E52</f>
        <v>10800</v>
      </c>
      <c r="F99" s="48">
        <f t="shared" si="6"/>
        <v>52150</v>
      </c>
      <c r="G99" s="48">
        <f t="shared" si="7"/>
        <v>43880</v>
      </c>
    </row>
    <row r="100" spans="1:14" ht="25.5" customHeight="1" outlineLevel="1" x14ac:dyDescent="0.3">
      <c r="A100" s="396"/>
      <c r="B100" s="307" t="s">
        <v>86</v>
      </c>
      <c r="C100" s="404"/>
      <c r="D100" s="309">
        <v>2300</v>
      </c>
      <c r="E100" s="123">
        <f>Twist!E53</f>
        <v>11700</v>
      </c>
      <c r="F100" s="48">
        <f t="shared" si="6"/>
        <v>56500</v>
      </c>
      <c r="G100" s="48">
        <f t="shared" si="7"/>
        <v>47540</v>
      </c>
    </row>
    <row r="101" spans="1:14" ht="25.5" customHeight="1" outlineLevel="1" x14ac:dyDescent="0.3">
      <c r="A101" s="396"/>
      <c r="B101" s="307" t="s">
        <v>395</v>
      </c>
      <c r="C101" s="404"/>
      <c r="D101" s="309">
        <v>2400</v>
      </c>
      <c r="E101" s="123">
        <f>Twist!E54</f>
        <v>12775</v>
      </c>
      <c r="F101" s="48">
        <f>E101+F22</f>
        <v>61025</v>
      </c>
      <c r="G101" s="48">
        <f t="shared" si="7"/>
        <v>51375</v>
      </c>
    </row>
    <row r="102" spans="1:14" ht="12.75" customHeight="1" x14ac:dyDescent="0.3">
      <c r="A102" s="41"/>
      <c r="B102" s="41"/>
      <c r="C102" s="41"/>
      <c r="D102" s="41"/>
      <c r="E102" s="41"/>
      <c r="F102" s="41"/>
      <c r="G102" s="41"/>
    </row>
    <row r="103" spans="1:14" ht="15.6" customHeight="1" x14ac:dyDescent="0.3">
      <c r="A103" s="407" t="s">
        <v>174</v>
      </c>
      <c r="B103" s="407"/>
      <c r="C103" s="407"/>
      <c r="D103" s="407"/>
      <c r="E103" s="407"/>
      <c r="F103" s="407"/>
      <c r="G103" s="407"/>
    </row>
    <row r="104" spans="1:14" ht="15.6" customHeight="1" x14ac:dyDescent="0.3">
      <c r="A104" s="403" t="s">
        <v>367</v>
      </c>
      <c r="B104" s="403"/>
      <c r="C104" s="403" t="s">
        <v>68</v>
      </c>
      <c r="D104" s="403"/>
      <c r="E104" s="403"/>
      <c r="F104" s="403"/>
      <c r="G104" s="403"/>
    </row>
    <row r="105" spans="1:14" ht="24" customHeight="1" x14ac:dyDescent="0.3">
      <c r="A105" s="403"/>
      <c r="B105" s="403"/>
      <c r="C105" s="113" t="s">
        <v>65</v>
      </c>
      <c r="D105" s="113" t="s">
        <v>66</v>
      </c>
      <c r="E105" s="113" t="s">
        <v>166</v>
      </c>
      <c r="F105" s="112" t="s">
        <v>163</v>
      </c>
      <c r="G105" s="113" t="s">
        <v>88</v>
      </c>
    </row>
    <row r="106" spans="1:14" s="49" customFormat="1" ht="27" customHeight="1" x14ac:dyDescent="0.3">
      <c r="A106" s="396" t="s">
        <v>161</v>
      </c>
      <c r="B106" s="307" t="s">
        <v>380</v>
      </c>
      <c r="C106" s="404" t="s">
        <v>67</v>
      </c>
      <c r="D106" s="50">
        <v>2000</v>
      </c>
      <c r="E106" s="48">
        <f>'Porte39-00'!E79</f>
        <v>13850</v>
      </c>
      <c r="F106" s="48">
        <f>F13+E106+F119+C124</f>
        <v>53650</v>
      </c>
      <c r="G106" s="48">
        <f>G13+E106+F119+F124</f>
        <v>47394</v>
      </c>
      <c r="J106">
        <v>12500</v>
      </c>
      <c r="K106" s="311">
        <f>E106/J106-1</f>
        <v>0.1080000000000001</v>
      </c>
      <c r="L106"/>
      <c r="M106"/>
      <c r="N106"/>
    </row>
    <row r="107" spans="1:14" ht="25.5" customHeight="1" outlineLevel="1" x14ac:dyDescent="0.3">
      <c r="A107" s="396"/>
      <c r="B107" s="402" t="s">
        <v>380</v>
      </c>
      <c r="C107" s="404"/>
      <c r="D107" s="309">
        <v>2100</v>
      </c>
      <c r="E107" s="46">
        <f>'Porte39-00'!E80</f>
        <v>13850</v>
      </c>
      <c r="F107" s="46">
        <f>F14+E107+F120+F124</f>
        <v>56820</v>
      </c>
      <c r="G107" s="46">
        <f>G14+E107+F120+F124</f>
        <v>49930</v>
      </c>
      <c r="J107">
        <v>12500</v>
      </c>
      <c r="K107" s="311">
        <f t="shared" ref="K107:K113" si="8">E107/J107-1</f>
        <v>0.1080000000000001</v>
      </c>
    </row>
    <row r="108" spans="1:14" ht="25.5" customHeight="1" outlineLevel="1" x14ac:dyDescent="0.3">
      <c r="A108" s="396"/>
      <c r="B108" s="402"/>
      <c r="C108" s="404"/>
      <c r="D108" s="309">
        <v>2200</v>
      </c>
      <c r="E108" s="46">
        <f>'Porte39-00'!E81</f>
        <v>15125</v>
      </c>
      <c r="F108" s="46">
        <f>F15+E108+F121+F124</f>
        <v>61195</v>
      </c>
      <c r="G108" s="46">
        <f>G15+E108+F121+F124</f>
        <v>53685</v>
      </c>
      <c r="J108">
        <v>14400</v>
      </c>
      <c r="K108" s="311">
        <f t="shared" si="8"/>
        <v>5.0347222222222321E-2</v>
      </c>
    </row>
    <row r="109" spans="1:14" ht="25.5" customHeight="1" outlineLevel="1" x14ac:dyDescent="0.3">
      <c r="A109" s="396"/>
      <c r="B109" s="307" t="s">
        <v>380</v>
      </c>
      <c r="C109" s="404"/>
      <c r="D109" s="309">
        <v>2300</v>
      </c>
      <c r="E109" s="46">
        <f>'Porte39-00'!E82</f>
        <v>15125</v>
      </c>
      <c r="F109" s="46">
        <f>F16+E109+F122+F124</f>
        <v>67765</v>
      </c>
      <c r="G109" s="46">
        <f>G16+E109+F122+F124</f>
        <v>59625</v>
      </c>
      <c r="J109">
        <v>14400</v>
      </c>
      <c r="K109" s="311">
        <f t="shared" si="8"/>
        <v>5.0347222222222321E-2</v>
      </c>
    </row>
    <row r="110" spans="1:14" ht="25.5" customHeight="1" outlineLevel="1" x14ac:dyDescent="0.3">
      <c r="A110" s="396"/>
      <c r="B110" s="307" t="s">
        <v>380</v>
      </c>
      <c r="C110" s="404"/>
      <c r="D110" s="309">
        <v>2400</v>
      </c>
      <c r="E110" s="46">
        <f>'Porte39-00'!E83</f>
        <v>17753</v>
      </c>
      <c r="F110" s="46">
        <f>F17+E110+F124+F125</f>
        <v>63233</v>
      </c>
      <c r="G110" s="46">
        <f>G17+E110+F124+F125</f>
        <v>54473</v>
      </c>
      <c r="K110" s="311"/>
    </row>
    <row r="111" spans="1:14" s="49" customFormat="1" ht="27" customHeight="1" x14ac:dyDescent="0.3">
      <c r="A111" s="396"/>
      <c r="B111" s="307" t="s">
        <v>380</v>
      </c>
      <c r="C111" s="404">
        <v>900</v>
      </c>
      <c r="D111" s="50">
        <v>2000</v>
      </c>
      <c r="E111" s="48">
        <f>E106</f>
        <v>13850</v>
      </c>
      <c r="F111" s="48">
        <f>F18+E111+F119+F124</f>
        <v>56820</v>
      </c>
      <c r="G111" s="48">
        <f>G18+E111+F119+F124</f>
        <v>49930</v>
      </c>
      <c r="J111">
        <v>12500</v>
      </c>
      <c r="K111" s="311">
        <f t="shared" si="8"/>
        <v>0.1080000000000001</v>
      </c>
      <c r="L111"/>
      <c r="M111"/>
      <c r="N111"/>
    </row>
    <row r="112" spans="1:14" ht="25.5" customHeight="1" outlineLevel="1" x14ac:dyDescent="0.3">
      <c r="A112" s="396"/>
      <c r="B112" s="402" t="s">
        <v>380</v>
      </c>
      <c r="C112" s="404"/>
      <c r="D112" s="309">
        <v>2100</v>
      </c>
      <c r="E112" s="46">
        <f>E107</f>
        <v>13850</v>
      </c>
      <c r="F112" s="46">
        <f>F19+E112+F120+F124</f>
        <v>60270</v>
      </c>
      <c r="G112" s="46">
        <f>G19+E112+F121+F124</f>
        <v>52690</v>
      </c>
      <c r="J112">
        <v>12500</v>
      </c>
      <c r="K112" s="311">
        <f t="shared" si="8"/>
        <v>0.1080000000000001</v>
      </c>
    </row>
    <row r="113" spans="1:11" ht="25.5" customHeight="1" outlineLevel="1" x14ac:dyDescent="0.3">
      <c r="A113" s="396"/>
      <c r="B113" s="402"/>
      <c r="C113" s="404"/>
      <c r="D113" s="309">
        <v>2200</v>
      </c>
      <c r="E113" s="46">
        <f t="shared" ref="E113:E114" si="9">E108</f>
        <v>15125</v>
      </c>
      <c r="F113" s="46">
        <f>F20+E113+F121+F124</f>
        <v>64995</v>
      </c>
      <c r="G113" s="46">
        <f>G20+E113+F121+F124</f>
        <v>56725</v>
      </c>
      <c r="J113">
        <v>14400</v>
      </c>
      <c r="K113" s="311">
        <f t="shared" si="8"/>
        <v>5.0347222222222321E-2</v>
      </c>
    </row>
    <row r="114" spans="1:11" ht="25.5" customHeight="1" outlineLevel="1" x14ac:dyDescent="0.3">
      <c r="A114" s="396"/>
      <c r="B114" s="307" t="s">
        <v>380</v>
      </c>
      <c r="C114" s="404"/>
      <c r="D114" s="309">
        <v>2300</v>
      </c>
      <c r="E114" s="46">
        <f t="shared" si="9"/>
        <v>15125</v>
      </c>
      <c r="F114" s="46">
        <f>F21+E114+F122+F124</f>
        <v>71865</v>
      </c>
      <c r="G114" s="46">
        <f>G21+E114+F122+F124</f>
        <v>62905</v>
      </c>
      <c r="J114">
        <v>14400</v>
      </c>
      <c r="K114" s="311">
        <f>E114/J114-1</f>
        <v>5.0347222222222321E-2</v>
      </c>
    </row>
    <row r="115" spans="1:11" ht="25.5" customHeight="1" outlineLevel="1" x14ac:dyDescent="0.3">
      <c r="A115" s="396"/>
      <c r="B115" s="307" t="s">
        <v>380</v>
      </c>
      <c r="C115" s="404"/>
      <c r="D115" s="309">
        <v>2400</v>
      </c>
      <c r="E115" s="46">
        <f>E110</f>
        <v>17753</v>
      </c>
      <c r="F115" s="46">
        <f>F22+E115+F124+F125</f>
        <v>67683</v>
      </c>
      <c r="G115" s="46">
        <f>G22+E115+F124+F122</f>
        <v>68293</v>
      </c>
      <c r="K115" s="311"/>
    </row>
    <row r="116" spans="1:11" x14ac:dyDescent="0.3">
      <c r="A116" s="412"/>
      <c r="B116" s="412"/>
      <c r="C116" s="37"/>
      <c r="D116" s="67"/>
      <c r="E116" s="67"/>
      <c r="F116" s="67"/>
      <c r="G116" s="67"/>
    </row>
    <row r="117" spans="1:11" x14ac:dyDescent="0.3">
      <c r="A117" s="109" t="s">
        <v>384</v>
      </c>
      <c r="B117" s="66"/>
      <c r="C117" s="37"/>
      <c r="D117" s="67"/>
      <c r="E117" s="67"/>
      <c r="F117" s="67"/>
      <c r="G117" s="67"/>
      <c r="H117" s="67"/>
      <c r="I117" s="67"/>
      <c r="J117" s="67"/>
    </row>
    <row r="118" spans="1:11" ht="48.75" customHeight="1" x14ac:dyDescent="0.3">
      <c r="A118" s="417" t="s">
        <v>169</v>
      </c>
      <c r="B118" s="418"/>
      <c r="C118" s="113" t="s">
        <v>173</v>
      </c>
      <c r="D118" s="113" t="s">
        <v>66</v>
      </c>
      <c r="E118" s="113" t="s">
        <v>172</v>
      </c>
      <c r="F118" s="113" t="s">
        <v>108</v>
      </c>
      <c r="G118" s="67"/>
    </row>
    <row r="119" spans="1:11" x14ac:dyDescent="0.3">
      <c r="A119" s="422" t="s">
        <v>168</v>
      </c>
      <c r="B119" s="422" t="s">
        <v>167</v>
      </c>
      <c r="C119" s="425">
        <v>3420</v>
      </c>
      <c r="D119" s="50">
        <v>2000</v>
      </c>
      <c r="E119" s="128">
        <v>2</v>
      </c>
      <c r="F119" s="48">
        <f>$C$119*E119</f>
        <v>6840</v>
      </c>
      <c r="G119" s="67"/>
    </row>
    <row r="120" spans="1:11" x14ac:dyDescent="0.3">
      <c r="A120" s="423"/>
      <c r="B120" s="423"/>
      <c r="C120" s="426"/>
      <c r="D120" s="108">
        <v>2100</v>
      </c>
      <c r="E120" s="128">
        <v>2</v>
      </c>
      <c r="F120" s="46">
        <f>$C$119*E120</f>
        <v>6840</v>
      </c>
      <c r="G120" s="67"/>
    </row>
    <row r="121" spans="1:11" x14ac:dyDescent="0.3">
      <c r="A121" s="423"/>
      <c r="B121" s="423"/>
      <c r="C121" s="426"/>
      <c r="D121" s="108">
        <v>2200</v>
      </c>
      <c r="E121" s="128">
        <v>2</v>
      </c>
      <c r="F121" s="46">
        <f>$C$119*E121</f>
        <v>6840</v>
      </c>
      <c r="G121" s="67"/>
    </row>
    <row r="122" spans="1:11" x14ac:dyDescent="0.3">
      <c r="A122" s="423"/>
      <c r="B122" s="423"/>
      <c r="C122" s="426"/>
      <c r="D122" s="108">
        <v>2300</v>
      </c>
      <c r="E122" s="128">
        <v>3</v>
      </c>
      <c r="F122" s="46">
        <f>$C$119*E122</f>
        <v>10260</v>
      </c>
      <c r="G122" s="67"/>
    </row>
    <row r="123" spans="1:11" x14ac:dyDescent="0.3">
      <c r="A123" s="424"/>
      <c r="B123" s="424"/>
      <c r="C123" s="427"/>
      <c r="D123" s="309">
        <v>2400</v>
      </c>
      <c r="E123" s="128">
        <v>3</v>
      </c>
      <c r="F123" s="46">
        <f>$C$119*E123</f>
        <v>10260</v>
      </c>
      <c r="G123" s="305"/>
    </row>
    <row r="124" spans="1:11" ht="27.75" customHeight="1" x14ac:dyDescent="0.3">
      <c r="A124" s="129" t="s">
        <v>170</v>
      </c>
      <c r="B124" s="130" t="s">
        <v>171</v>
      </c>
      <c r="C124" s="131">
        <v>1680</v>
      </c>
      <c r="D124" s="132"/>
      <c r="E124" s="132">
        <v>1</v>
      </c>
      <c r="F124" s="48">
        <f>$C$124*E124</f>
        <v>1680</v>
      </c>
      <c r="G124" s="67"/>
    </row>
    <row r="175" spans="1:2" ht="15" customHeight="1" x14ac:dyDescent="0.3"/>
    <row r="176" spans="1:2" x14ac:dyDescent="0.3">
      <c r="A176" s="39"/>
      <c r="B176" s="39"/>
    </row>
    <row r="177" spans="1:7" x14ac:dyDescent="0.3">
      <c r="B177" s="39"/>
      <c r="C177" s="40"/>
      <c r="D177" s="40"/>
      <c r="E177" s="40"/>
      <c r="F177" s="40"/>
      <c r="G177" s="40"/>
    </row>
    <row r="178" spans="1:7" x14ac:dyDescent="0.3">
      <c r="A178" s="39"/>
      <c r="B178" s="39"/>
    </row>
    <row r="179" spans="1:7" x14ac:dyDescent="0.3">
      <c r="A179" s="39"/>
      <c r="B179" s="39"/>
    </row>
    <row r="180" spans="1:7" x14ac:dyDescent="0.3">
      <c r="A180" s="39"/>
      <c r="B180" s="39"/>
    </row>
    <row r="181" spans="1:7" x14ac:dyDescent="0.3">
      <c r="A181" s="39"/>
      <c r="B181" s="39"/>
    </row>
    <row r="182" spans="1:7" x14ac:dyDescent="0.3">
      <c r="A182" s="39"/>
      <c r="B182" s="39"/>
    </row>
    <row r="183" spans="1:7" x14ac:dyDescent="0.3">
      <c r="A183" s="39"/>
      <c r="B183" s="39"/>
    </row>
    <row r="184" spans="1:7" x14ac:dyDescent="0.3">
      <c r="A184" s="39"/>
      <c r="B184" s="39"/>
    </row>
    <row r="185" spans="1:7" x14ac:dyDescent="0.3">
      <c r="A185" s="39"/>
      <c r="B185" s="39"/>
    </row>
    <row r="186" spans="1:7" x14ac:dyDescent="0.3">
      <c r="A186" s="39"/>
      <c r="B186" s="39"/>
    </row>
    <row r="187" spans="1:7" x14ac:dyDescent="0.3">
      <c r="A187" s="39"/>
      <c r="B187" s="39"/>
    </row>
    <row r="188" spans="1:7" x14ac:dyDescent="0.3">
      <c r="A188" s="39"/>
      <c r="B188" s="39"/>
    </row>
    <row r="189" spans="1:7" x14ac:dyDescent="0.3">
      <c r="A189" s="39"/>
      <c r="B189" s="39"/>
    </row>
    <row r="190" spans="1:7" x14ac:dyDescent="0.3">
      <c r="A190" s="39"/>
      <c r="B190" s="39"/>
    </row>
    <row r="191" spans="1:7" x14ac:dyDescent="0.3">
      <c r="A191" s="39"/>
      <c r="B191" s="39"/>
    </row>
    <row r="192" spans="1:7" x14ac:dyDescent="0.3">
      <c r="A192" s="39"/>
      <c r="B192" s="39"/>
    </row>
    <row r="193" spans="1:2" x14ac:dyDescent="0.3">
      <c r="A193" s="39"/>
      <c r="B193" s="39"/>
    </row>
    <row r="194" spans="1:2" x14ac:dyDescent="0.3">
      <c r="A194" s="39"/>
      <c r="B194" s="39"/>
    </row>
    <row r="195" spans="1:2" x14ac:dyDescent="0.3">
      <c r="A195" s="39"/>
      <c r="B195" s="39"/>
    </row>
    <row r="196" spans="1:2" x14ac:dyDescent="0.3">
      <c r="A196" s="39"/>
      <c r="B196" s="39"/>
    </row>
    <row r="197" spans="1:2" x14ac:dyDescent="0.3">
      <c r="A197" s="39"/>
      <c r="B197" s="39"/>
    </row>
    <row r="198" spans="1:2" x14ac:dyDescent="0.3">
      <c r="A198" s="39"/>
      <c r="B198" s="39"/>
    </row>
    <row r="199" spans="1:2" x14ac:dyDescent="0.3">
      <c r="A199" s="39"/>
      <c r="B199" s="39"/>
    </row>
  </sheetData>
  <mergeCells count="58">
    <mergeCell ref="A116:B116"/>
    <mergeCell ref="A118:B118"/>
    <mergeCell ref="A119:A123"/>
    <mergeCell ref="B119:B123"/>
    <mergeCell ref="C119:C123"/>
    <mergeCell ref="A103:G103"/>
    <mergeCell ref="A104:B105"/>
    <mergeCell ref="C104:G104"/>
    <mergeCell ref="B107:B108"/>
    <mergeCell ref="B112:B113"/>
    <mergeCell ref="A106:A115"/>
    <mergeCell ref="C111:C115"/>
    <mergeCell ref="C106:C110"/>
    <mergeCell ref="A88:B88"/>
    <mergeCell ref="E88:G88"/>
    <mergeCell ref="A89:G89"/>
    <mergeCell ref="A90:B91"/>
    <mergeCell ref="C90:G90"/>
    <mergeCell ref="B93:B94"/>
    <mergeCell ref="A92:A101"/>
    <mergeCell ref="C92:C96"/>
    <mergeCell ref="C97:C101"/>
    <mergeCell ref="B98:B99"/>
    <mergeCell ref="A71:G71"/>
    <mergeCell ref="A75:G75"/>
    <mergeCell ref="A76:B77"/>
    <mergeCell ref="C76:G76"/>
    <mergeCell ref="A61:B70"/>
    <mergeCell ref="C61:C65"/>
    <mergeCell ref="C66:C70"/>
    <mergeCell ref="B79:B80"/>
    <mergeCell ref="A78:A87"/>
    <mergeCell ref="C78:C82"/>
    <mergeCell ref="C83:C87"/>
    <mergeCell ref="B84:B85"/>
    <mergeCell ref="A35:G35"/>
    <mergeCell ref="A36:B37"/>
    <mergeCell ref="C36:G36"/>
    <mergeCell ref="A38:B47"/>
    <mergeCell ref="C38:C42"/>
    <mergeCell ref="C43:C47"/>
    <mergeCell ref="C48:G48"/>
    <mergeCell ref="C59:G59"/>
    <mergeCell ref="A49:B58"/>
    <mergeCell ref="C49:C53"/>
    <mergeCell ref="C54:C58"/>
    <mergeCell ref="A3:G3"/>
    <mergeCell ref="A4:G4"/>
    <mergeCell ref="A10:G10"/>
    <mergeCell ref="A11:B12"/>
    <mergeCell ref="C11:F11"/>
    <mergeCell ref="A29:B33"/>
    <mergeCell ref="A26:G26"/>
    <mergeCell ref="A27:B28"/>
    <mergeCell ref="D27:G27"/>
    <mergeCell ref="A13:B22"/>
    <mergeCell ref="C13:C17"/>
    <mergeCell ref="C18:C22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72" max="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4"/>
  <sheetViews>
    <sheetView view="pageBreakPreview" topLeftCell="A31" zoomScaleNormal="100" zoomScaleSheetLayoutView="100" workbookViewId="0">
      <selection activeCell="E42" sqref="E42:E45"/>
    </sheetView>
  </sheetViews>
  <sheetFormatPr defaultRowHeight="14.4" outlineLevelRow="1" outlineLevelCol="1" x14ac:dyDescent="0.3"/>
  <cols>
    <col min="1" max="1" width="11.6640625" customWidth="1"/>
    <col min="2" max="2" width="24" bestFit="1" customWidth="1"/>
    <col min="3" max="7" width="12.6640625" customWidth="1"/>
    <col min="8" max="8" width="9.109375" hidden="1" customWidth="1" outlineLevel="1"/>
    <col min="9" max="9" width="11.44140625" hidden="1" customWidth="1" outlineLevel="1"/>
    <col min="10" max="10" width="9.109375" hidden="1" customWidth="1" collapsed="1"/>
    <col min="11" max="12" width="9.5546875" hidden="1" customWidth="1"/>
    <col min="13" max="16" width="0" hidden="1" customWidth="1"/>
  </cols>
  <sheetData>
    <row r="1" spans="1:12" s="58" customFormat="1" ht="18.75" customHeight="1" x14ac:dyDescent="0.3">
      <c r="A1" s="91"/>
      <c r="B1" s="57"/>
      <c r="D1" s="41"/>
      <c r="E1" s="41"/>
      <c r="F1" s="41"/>
      <c r="G1" s="214" t="str">
        <f>СОДЕРЖАНИЕ!I2</f>
        <v>Прайс-лист на изделия из ПВХ от 02.12.2024</v>
      </c>
    </row>
    <row r="2" spans="1:12" s="58" customFormat="1" ht="20.25" customHeight="1" x14ac:dyDescent="0.3">
      <c r="A2" s="91"/>
      <c r="B2" s="57"/>
      <c r="C2" s="57"/>
      <c r="D2" s="57"/>
      <c r="E2" s="57"/>
      <c r="F2"/>
      <c r="G2"/>
    </row>
    <row r="3" spans="1:12" s="58" customFormat="1" ht="24" customHeight="1" x14ac:dyDescent="0.3">
      <c r="A3" s="368" t="s">
        <v>71</v>
      </c>
      <c r="B3" s="368"/>
      <c r="C3" s="368"/>
      <c r="D3" s="368"/>
      <c r="E3" s="368"/>
      <c r="F3" s="368"/>
      <c r="G3" s="368"/>
    </row>
    <row r="4" spans="1:12" ht="17.399999999999999" x14ac:dyDescent="0.3">
      <c r="A4" s="397" t="s">
        <v>57</v>
      </c>
      <c r="B4" s="397"/>
      <c r="C4" s="397"/>
      <c r="D4" s="397"/>
      <c r="E4" s="397"/>
      <c r="F4" s="397"/>
      <c r="G4" s="397"/>
    </row>
    <row r="5" spans="1:12" ht="9" customHeight="1" x14ac:dyDescent="0.3">
      <c r="A5" s="33"/>
      <c r="B5" s="33"/>
      <c r="C5" s="33"/>
      <c r="D5" s="33"/>
      <c r="E5" s="33"/>
      <c r="F5" s="33"/>
      <c r="G5" s="33"/>
    </row>
    <row r="6" spans="1:12" ht="9" customHeight="1" x14ac:dyDescent="0.3">
      <c r="A6" s="33"/>
      <c r="B6" s="33"/>
      <c r="C6" s="33"/>
      <c r="D6" s="33"/>
      <c r="E6" s="33"/>
      <c r="F6" s="33"/>
      <c r="G6" s="33"/>
    </row>
    <row r="7" spans="1:12" ht="144" customHeight="1" x14ac:dyDescent="0.3">
      <c r="C7" s="1"/>
      <c r="D7" s="1"/>
      <c r="E7" s="1"/>
      <c r="F7" s="1"/>
      <c r="G7" s="1"/>
    </row>
    <row r="8" spans="1:12" ht="20.25" customHeight="1" x14ac:dyDescent="0.3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2" ht="15.6" customHeight="1" x14ac:dyDescent="0.3">
      <c r="A9" s="36"/>
      <c r="B9" s="36"/>
      <c r="C9" s="36"/>
      <c r="D9" s="36"/>
      <c r="E9" s="36"/>
      <c r="F9" s="36"/>
      <c r="G9" s="36"/>
    </row>
    <row r="10" spans="1:12" ht="15.6" customHeight="1" x14ac:dyDescent="0.3">
      <c r="A10" s="408" t="s">
        <v>136</v>
      </c>
      <c r="B10" s="409"/>
      <c r="C10" s="409"/>
      <c r="D10" s="409"/>
      <c r="E10" s="409"/>
      <c r="F10" s="409"/>
      <c r="G10" s="410"/>
    </row>
    <row r="11" spans="1:12" ht="15.6" customHeight="1" x14ac:dyDescent="0.3">
      <c r="A11" s="403" t="s">
        <v>83</v>
      </c>
      <c r="B11" s="403"/>
      <c r="C11" s="405" t="s">
        <v>68</v>
      </c>
      <c r="D11" s="406"/>
      <c r="E11" s="406"/>
      <c r="F11" s="406"/>
      <c r="G11" s="126"/>
    </row>
    <row r="12" spans="1:12" x14ac:dyDescent="0.3">
      <c r="A12" s="403"/>
      <c r="B12" s="403"/>
      <c r="C12" s="290" t="s">
        <v>65</v>
      </c>
      <c r="D12" s="290" t="s">
        <v>66</v>
      </c>
      <c r="E12" s="290" t="s">
        <v>69</v>
      </c>
      <c r="F12" s="290" t="s">
        <v>87</v>
      </c>
      <c r="G12" s="290" t="s">
        <v>88</v>
      </c>
      <c r="H12" s="287" t="s">
        <v>140</v>
      </c>
      <c r="I12" s="287" t="s">
        <v>141</v>
      </c>
    </row>
    <row r="13" spans="1:12" s="49" customFormat="1" ht="27" customHeight="1" x14ac:dyDescent="0.3">
      <c r="A13" s="396" t="s">
        <v>376</v>
      </c>
      <c r="B13" s="396"/>
      <c r="C13" s="404" t="s">
        <v>67</v>
      </c>
      <c r="D13" s="50">
        <v>2000</v>
      </c>
      <c r="E13" s="50" t="s">
        <v>70</v>
      </c>
      <c r="F13" s="48">
        <v>22850</v>
      </c>
      <c r="G13" s="48">
        <f>F13*(1-$G$8)</f>
        <v>18280</v>
      </c>
      <c r="H13" s="48">
        <f>F13*0.61</f>
        <v>13938.5</v>
      </c>
      <c r="I13" s="48">
        <f>H13*(1-$I$8)</f>
        <v>12544.65</v>
      </c>
      <c r="J13" s="49">
        <v>21950</v>
      </c>
      <c r="K13" s="310">
        <f>F13/J13-1</f>
        <v>4.1002277904327977E-2</v>
      </c>
      <c r="L13" s="157"/>
    </row>
    <row r="14" spans="1:12" ht="25.5" customHeight="1" outlineLevel="1" x14ac:dyDescent="0.3">
      <c r="A14" s="396"/>
      <c r="B14" s="396"/>
      <c r="C14" s="404"/>
      <c r="D14" s="309">
        <v>2100</v>
      </c>
      <c r="E14" s="47">
        <v>0.1</v>
      </c>
      <c r="F14" s="46">
        <f>CEILING(F13*(1+E14), 50)</f>
        <v>25150</v>
      </c>
      <c r="G14" s="46">
        <f t="shared" ref="G14:G21" si="0">F14*(1-$G$8)</f>
        <v>20120</v>
      </c>
      <c r="H14" s="48">
        <f t="shared" ref="H14:H21" si="1">F14*0.61</f>
        <v>15341.5</v>
      </c>
      <c r="I14" s="46">
        <f t="shared" ref="I14:I21" si="2">H14*(1-$I$8)</f>
        <v>13807.35</v>
      </c>
      <c r="J14">
        <v>24150</v>
      </c>
      <c r="K14" s="310">
        <f t="shared" ref="K14:K21" si="3">F14/J14-1</f>
        <v>4.1407867494823947E-2</v>
      </c>
    </row>
    <row r="15" spans="1:12" ht="25.5" customHeight="1" outlineLevel="1" x14ac:dyDescent="0.3">
      <c r="A15" s="396"/>
      <c r="B15" s="396"/>
      <c r="C15" s="404"/>
      <c r="D15" s="309">
        <v>2200</v>
      </c>
      <c r="E15" s="47">
        <v>0.2</v>
      </c>
      <c r="F15" s="46">
        <f>CEILING(F13*(1+E15), 50)</f>
        <v>27450</v>
      </c>
      <c r="G15" s="46">
        <f t="shared" si="0"/>
        <v>21960</v>
      </c>
      <c r="H15" s="48">
        <f t="shared" si="1"/>
        <v>16744.5</v>
      </c>
      <c r="I15" s="46">
        <f t="shared" si="2"/>
        <v>15070.050000000001</v>
      </c>
      <c r="J15">
        <v>26350</v>
      </c>
      <c r="K15" s="310">
        <f t="shared" si="3"/>
        <v>4.1745730550284632E-2</v>
      </c>
    </row>
    <row r="16" spans="1:12" ht="25.5" customHeight="1" outlineLevel="1" x14ac:dyDescent="0.3">
      <c r="A16" s="396"/>
      <c r="B16" s="396"/>
      <c r="C16" s="404"/>
      <c r="D16" s="309">
        <v>2300</v>
      </c>
      <c r="E16" s="47">
        <v>0.3</v>
      </c>
      <c r="F16" s="46">
        <f>CEILING(F13*(1+E16), 50)</f>
        <v>29750</v>
      </c>
      <c r="G16" s="46">
        <f t="shared" si="0"/>
        <v>23800</v>
      </c>
      <c r="H16" s="48">
        <f t="shared" si="1"/>
        <v>18147.5</v>
      </c>
      <c r="I16" s="46">
        <f t="shared" si="2"/>
        <v>16332.75</v>
      </c>
      <c r="J16">
        <v>28550</v>
      </c>
      <c r="K16" s="310">
        <f t="shared" si="3"/>
        <v>4.2031523642731994E-2</v>
      </c>
    </row>
    <row r="17" spans="1:15" ht="25.5" customHeight="1" outlineLevel="1" x14ac:dyDescent="0.3">
      <c r="A17" s="396"/>
      <c r="B17" s="396"/>
      <c r="C17" s="404"/>
      <c r="D17" s="309">
        <v>2400</v>
      </c>
      <c r="E17" s="47">
        <v>0.4</v>
      </c>
      <c r="F17" s="46">
        <f>CEILING(F13*(1+E17), 50)</f>
        <v>32000</v>
      </c>
      <c r="G17" s="46">
        <f t="shared" ref="G17" si="4">F17*(1-$G$8)</f>
        <v>25600</v>
      </c>
      <c r="H17" s="48"/>
      <c r="I17" s="46"/>
      <c r="K17" s="310"/>
    </row>
    <row r="18" spans="1:15" s="49" customFormat="1" ht="27" customHeight="1" x14ac:dyDescent="0.3">
      <c r="A18" s="396"/>
      <c r="B18" s="396"/>
      <c r="C18" s="404">
        <v>900</v>
      </c>
      <c r="D18" s="50">
        <v>2000</v>
      </c>
      <c r="E18" s="50" t="s">
        <v>70</v>
      </c>
      <c r="F18" s="48">
        <f>CEILING(F13*(1+10%), 50)</f>
        <v>25150</v>
      </c>
      <c r="G18" s="48">
        <f t="shared" si="0"/>
        <v>20120</v>
      </c>
      <c r="H18" s="48">
        <f t="shared" si="1"/>
        <v>15341.5</v>
      </c>
      <c r="I18" s="48">
        <f t="shared" si="2"/>
        <v>13807.35</v>
      </c>
      <c r="J18" s="49">
        <v>24150</v>
      </c>
      <c r="K18" s="310">
        <f t="shared" si="3"/>
        <v>4.1407867494823947E-2</v>
      </c>
    </row>
    <row r="19" spans="1:15" ht="25.5" customHeight="1" outlineLevel="1" x14ac:dyDescent="0.3">
      <c r="A19" s="396"/>
      <c r="B19" s="396"/>
      <c r="C19" s="404"/>
      <c r="D19" s="309">
        <v>2100</v>
      </c>
      <c r="E19" s="47">
        <v>0.1</v>
      </c>
      <c r="F19" s="46">
        <f>CEILING(F18*(1+E19), 50)</f>
        <v>27700</v>
      </c>
      <c r="G19" s="46">
        <f t="shared" si="0"/>
        <v>22160</v>
      </c>
      <c r="H19" s="48">
        <f t="shared" si="1"/>
        <v>16897</v>
      </c>
      <c r="I19" s="46">
        <f t="shared" si="2"/>
        <v>15207.300000000001</v>
      </c>
      <c r="J19">
        <v>26600</v>
      </c>
      <c r="K19" s="310">
        <f t="shared" si="3"/>
        <v>4.1353383458646586E-2</v>
      </c>
    </row>
    <row r="20" spans="1:15" ht="25.5" customHeight="1" outlineLevel="1" x14ac:dyDescent="0.3">
      <c r="A20" s="396"/>
      <c r="B20" s="396"/>
      <c r="C20" s="404"/>
      <c r="D20" s="309">
        <v>2200</v>
      </c>
      <c r="E20" s="47">
        <v>0.2</v>
      </c>
      <c r="F20" s="46">
        <f>CEILING(F18*(1+E20), 50)</f>
        <v>30200</v>
      </c>
      <c r="G20" s="46">
        <f t="shared" si="0"/>
        <v>24160</v>
      </c>
      <c r="H20" s="48">
        <f t="shared" si="1"/>
        <v>18422</v>
      </c>
      <c r="I20" s="46">
        <f t="shared" si="2"/>
        <v>16579.8</v>
      </c>
      <c r="J20">
        <v>29000</v>
      </c>
      <c r="K20" s="310">
        <f t="shared" si="3"/>
        <v>4.1379310344827669E-2</v>
      </c>
    </row>
    <row r="21" spans="1:15" ht="25.5" customHeight="1" outlineLevel="1" x14ac:dyDescent="0.3">
      <c r="A21" s="396"/>
      <c r="B21" s="396"/>
      <c r="C21" s="404"/>
      <c r="D21" s="309">
        <v>2300</v>
      </c>
      <c r="E21" s="47">
        <v>0.3</v>
      </c>
      <c r="F21" s="46">
        <f>CEILING(F18*(1+E21), 50)</f>
        <v>32700</v>
      </c>
      <c r="G21" s="46">
        <f t="shared" si="0"/>
        <v>26160</v>
      </c>
      <c r="H21" s="48">
        <f t="shared" si="1"/>
        <v>19947</v>
      </c>
      <c r="I21" s="46">
        <f t="shared" si="2"/>
        <v>17952.3</v>
      </c>
      <c r="J21">
        <v>31400</v>
      </c>
      <c r="K21" s="310">
        <f t="shared" si="3"/>
        <v>4.140127388535042E-2</v>
      </c>
    </row>
    <row r="22" spans="1:15" ht="25.5" customHeight="1" outlineLevel="1" x14ac:dyDescent="0.3">
      <c r="A22" s="396"/>
      <c r="B22" s="396"/>
      <c r="C22" s="404"/>
      <c r="D22" s="309">
        <v>2400</v>
      </c>
      <c r="E22" s="47">
        <v>0.4</v>
      </c>
      <c r="F22" s="46">
        <f>CEILING(F18*(1+E22), 50)</f>
        <v>35250</v>
      </c>
      <c r="G22" s="46">
        <f t="shared" ref="G22" si="5">F22*(1-$G$8)</f>
        <v>28200</v>
      </c>
      <c r="H22" s="73"/>
      <c r="I22" s="74"/>
      <c r="K22" s="310"/>
    </row>
    <row r="23" spans="1:15" ht="15.6" customHeight="1" x14ac:dyDescent="0.3">
      <c r="A23" s="36"/>
      <c r="B23" s="36"/>
      <c r="C23" s="36"/>
      <c r="D23" s="36"/>
      <c r="E23" s="36"/>
      <c r="F23" s="36"/>
      <c r="G23" s="36"/>
    </row>
    <row r="24" spans="1:15" ht="15.6" customHeight="1" x14ac:dyDescent="0.3">
      <c r="A24" s="158" t="s">
        <v>231</v>
      </c>
      <c r="B24" s="36"/>
      <c r="C24" s="36"/>
      <c r="D24" s="36"/>
      <c r="E24" s="36"/>
      <c r="F24" s="36"/>
      <c r="G24" s="36"/>
    </row>
    <row r="25" spans="1:15" ht="15.6" customHeight="1" x14ac:dyDescent="0.3">
      <c r="A25" s="109" t="s">
        <v>377</v>
      </c>
      <c r="B25" s="109"/>
      <c r="C25" s="109"/>
      <c r="D25" s="109"/>
      <c r="E25" s="109"/>
      <c r="F25" s="109"/>
      <c r="G25" s="109"/>
      <c r="H25" s="109"/>
      <c r="I25" s="109"/>
    </row>
    <row r="26" spans="1:15" ht="15.6" customHeight="1" x14ac:dyDescent="0.3">
      <c r="A26" s="408" t="s">
        <v>375</v>
      </c>
      <c r="B26" s="409"/>
      <c r="C26" s="409"/>
      <c r="D26" s="409"/>
      <c r="E26" s="409">
        <v>1.1000000000000001</v>
      </c>
      <c r="F26" s="409">
        <v>1.2</v>
      </c>
      <c r="G26" s="410">
        <v>1.45</v>
      </c>
    </row>
    <row r="27" spans="1:15" ht="15.6" customHeight="1" x14ac:dyDescent="0.3">
      <c r="A27" s="436" t="s">
        <v>175</v>
      </c>
      <c r="B27" s="436"/>
      <c r="C27" s="120"/>
      <c r="D27" s="437" t="s">
        <v>144</v>
      </c>
      <c r="E27" s="437"/>
      <c r="F27" s="437"/>
      <c r="G27" s="437"/>
      <c r="H27" s="107"/>
      <c r="I27" s="107"/>
    </row>
    <row r="28" spans="1:15" ht="45.75" customHeight="1" x14ac:dyDescent="0.3">
      <c r="A28" s="436"/>
      <c r="B28" s="436"/>
      <c r="C28" s="290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5" ht="15.6" customHeight="1" x14ac:dyDescent="0.3">
      <c r="A29" s="438" t="s">
        <v>162</v>
      </c>
      <c r="B29" s="438"/>
      <c r="C29" s="50">
        <v>2000</v>
      </c>
      <c r="D29" s="285" t="s">
        <v>368</v>
      </c>
      <c r="E29" s="46">
        <f>декоры!E26-декоры!$D$26</f>
        <v>450</v>
      </c>
      <c r="F29" s="46">
        <f>декоры!F26-декоры!$D$26</f>
        <v>900</v>
      </c>
      <c r="G29" s="46">
        <f>декоры!G26-декоры!$D$26</f>
        <v>2030</v>
      </c>
      <c r="H29" s="107"/>
      <c r="I29" s="107"/>
      <c r="J29">
        <v>500</v>
      </c>
      <c r="K29">
        <v>1500</v>
      </c>
      <c r="L29">
        <v>2500</v>
      </c>
      <c r="M29" s="311">
        <f>E29/J29-1</f>
        <v>-9.9999999999999978E-2</v>
      </c>
      <c r="N29" s="311">
        <f t="shared" ref="N29:O32" si="6">F29/K29-1</f>
        <v>-0.4</v>
      </c>
      <c r="O29" s="311">
        <f t="shared" si="6"/>
        <v>-0.18799999999999994</v>
      </c>
    </row>
    <row r="30" spans="1:15" ht="15.6" customHeight="1" outlineLevel="1" x14ac:dyDescent="0.3">
      <c r="A30" s="438"/>
      <c r="B30" s="438"/>
      <c r="C30" s="309">
        <v>2100</v>
      </c>
      <c r="D30" s="285" t="s">
        <v>368</v>
      </c>
      <c r="E30" s="46">
        <f>декоры!E27-декоры!$D$26</f>
        <v>945</v>
      </c>
      <c r="F30" s="46">
        <f>декоры!F27-декоры!$D$26</f>
        <v>1440.0000000000009</v>
      </c>
      <c r="G30" s="46">
        <f>декоры!G27-декоры!$D$26</f>
        <v>2683.0000000000009</v>
      </c>
      <c r="J30">
        <v>950</v>
      </c>
      <c r="K30">
        <v>2050.0000000000009</v>
      </c>
      <c r="L30">
        <v>3150.0000000000009</v>
      </c>
      <c r="M30" s="311">
        <f t="shared" ref="M30:M32" si="7">E30/J30-1</f>
        <v>-5.2631578947368585E-3</v>
      </c>
      <c r="N30" s="311">
        <f t="shared" si="6"/>
        <v>-0.29756097560975592</v>
      </c>
      <c r="O30" s="311">
        <f t="shared" si="6"/>
        <v>-0.14825396825396819</v>
      </c>
    </row>
    <row r="31" spans="1:15" ht="15.6" customHeight="1" outlineLevel="1" x14ac:dyDescent="0.3">
      <c r="A31" s="438"/>
      <c r="B31" s="438"/>
      <c r="C31" s="309">
        <v>2200</v>
      </c>
      <c r="D31" s="285" t="s">
        <v>368</v>
      </c>
      <c r="E31" s="46">
        <f>декоры!E28-декоры!$D$26</f>
        <v>1440</v>
      </c>
      <c r="F31" s="46">
        <f>декоры!F28-декоры!$D$26</f>
        <v>1980</v>
      </c>
      <c r="G31" s="46">
        <f>декоры!G28-декоры!$D$26</f>
        <v>3336</v>
      </c>
      <c r="J31">
        <v>1400</v>
      </c>
      <c r="K31">
        <v>2600</v>
      </c>
      <c r="L31">
        <v>3800</v>
      </c>
      <c r="M31" s="311">
        <f t="shared" si="7"/>
        <v>2.857142857142847E-2</v>
      </c>
      <c r="N31" s="311">
        <f t="shared" si="6"/>
        <v>-0.2384615384615385</v>
      </c>
      <c r="O31" s="311">
        <f t="shared" si="6"/>
        <v>-0.12210526315789472</v>
      </c>
    </row>
    <row r="32" spans="1:15" ht="15.6" customHeight="1" outlineLevel="1" x14ac:dyDescent="0.3">
      <c r="A32" s="438"/>
      <c r="B32" s="438"/>
      <c r="C32" s="309">
        <v>2300</v>
      </c>
      <c r="D32" s="285" t="s">
        <v>368</v>
      </c>
      <c r="E32" s="46">
        <f>декоры!E29-декоры!$D$26</f>
        <v>1935</v>
      </c>
      <c r="F32" s="46">
        <f>декоры!F29-декоры!$D$26</f>
        <v>2520</v>
      </c>
      <c r="G32" s="46">
        <f>декоры!G29-декоры!$D$26</f>
        <v>3989</v>
      </c>
      <c r="J32">
        <v>1850</v>
      </c>
      <c r="K32">
        <v>3150</v>
      </c>
      <c r="L32">
        <v>4450</v>
      </c>
      <c r="M32" s="311">
        <f t="shared" si="7"/>
        <v>4.5945945945945921E-2</v>
      </c>
      <c r="N32" s="311">
        <f t="shared" si="6"/>
        <v>-0.19999999999999996</v>
      </c>
      <c r="O32" s="311">
        <f t="shared" si="6"/>
        <v>-0.10359550561797748</v>
      </c>
    </row>
    <row r="33" spans="1:15" ht="15.6" customHeight="1" outlineLevel="1" x14ac:dyDescent="0.3">
      <c r="A33" s="438"/>
      <c r="B33" s="438"/>
      <c r="C33" s="309">
        <v>2400</v>
      </c>
      <c r="D33" s="285" t="s">
        <v>368</v>
      </c>
      <c r="E33" s="46">
        <f>декоры!E30-декоры!$D$26</f>
        <v>2430</v>
      </c>
      <c r="F33" s="46">
        <f>декоры!F30-декоры!$D$26</f>
        <v>3059.9999999999991</v>
      </c>
      <c r="G33" s="46">
        <f>декоры!G30-декоры!$D$26</f>
        <v>4642</v>
      </c>
      <c r="M33" s="311"/>
      <c r="N33" s="311"/>
      <c r="O33" s="311"/>
    </row>
    <row r="34" spans="1:15" ht="15.6" customHeight="1" x14ac:dyDescent="0.3">
      <c r="A34" s="63"/>
      <c r="B34" s="36"/>
      <c r="C34" s="36"/>
      <c r="D34" s="36"/>
      <c r="E34" s="36"/>
      <c r="F34" s="36"/>
      <c r="G34" s="36"/>
    </row>
    <row r="35" spans="1:15" ht="15.6" customHeight="1" x14ac:dyDescent="0.3">
      <c r="A35" s="435"/>
      <c r="B35" s="435"/>
      <c r="C35" s="435"/>
      <c r="D35" s="435"/>
      <c r="E35" s="435"/>
      <c r="F35" s="435"/>
      <c r="G35" s="435"/>
    </row>
    <row r="36" spans="1:15" ht="15.6" customHeight="1" x14ac:dyDescent="0.3">
      <c r="A36" s="105" t="s">
        <v>142</v>
      </c>
      <c r="B36" s="36"/>
      <c r="C36" s="36"/>
      <c r="D36" s="36"/>
      <c r="E36" s="36"/>
      <c r="F36" s="36"/>
      <c r="G36" s="36"/>
    </row>
    <row r="37" spans="1:15" ht="12.75" customHeight="1" x14ac:dyDescent="0.3">
      <c r="A37" s="41"/>
      <c r="B37" s="41"/>
      <c r="C37" s="41"/>
      <c r="D37" s="41"/>
      <c r="E37" s="41"/>
      <c r="F37" s="41"/>
      <c r="G37" s="41"/>
    </row>
    <row r="38" spans="1:15" ht="15.6" customHeight="1" x14ac:dyDescent="0.3">
      <c r="A38" s="407" t="s">
        <v>174</v>
      </c>
      <c r="B38" s="407"/>
      <c r="C38" s="407"/>
      <c r="D38" s="407"/>
      <c r="E38" s="407"/>
      <c r="F38" s="407"/>
      <c r="G38" s="407"/>
    </row>
    <row r="39" spans="1:15" ht="15.6" customHeight="1" x14ac:dyDescent="0.3">
      <c r="A39" s="403" t="s">
        <v>364</v>
      </c>
      <c r="B39" s="403"/>
      <c r="C39" s="403" t="s">
        <v>68</v>
      </c>
      <c r="D39" s="403"/>
      <c r="E39" s="403"/>
      <c r="F39" s="403"/>
      <c r="G39" s="403"/>
    </row>
    <row r="40" spans="1:15" ht="24" customHeight="1" x14ac:dyDescent="0.3">
      <c r="A40" s="403"/>
      <c r="B40" s="403"/>
      <c r="C40" s="113" t="s">
        <v>65</v>
      </c>
      <c r="D40" s="113" t="s">
        <v>66</v>
      </c>
      <c r="E40" s="113" t="s">
        <v>166</v>
      </c>
      <c r="F40" s="290" t="s">
        <v>163</v>
      </c>
      <c r="G40" s="113" t="s">
        <v>88</v>
      </c>
    </row>
    <row r="41" spans="1:15" s="49" customFormat="1" ht="27" customHeight="1" x14ac:dyDescent="0.3">
      <c r="A41" s="396" t="s">
        <v>376</v>
      </c>
      <c r="B41" s="307" t="s">
        <v>381</v>
      </c>
      <c r="C41" s="404" t="s">
        <v>67</v>
      </c>
      <c r="D41" s="50">
        <v>2000</v>
      </c>
      <c r="E41" s="48">
        <f>'Porte39-00'!E79</f>
        <v>13850</v>
      </c>
      <c r="F41" s="48">
        <f>F13+E41+F54+F59*E59</f>
        <v>45220</v>
      </c>
      <c r="G41" s="48">
        <f>G13+E41+F54+$F$59</f>
        <v>40650</v>
      </c>
      <c r="J41"/>
      <c r="K41"/>
      <c r="L41"/>
      <c r="M41"/>
      <c r="N41"/>
      <c r="O41"/>
    </row>
    <row r="42" spans="1:15" ht="25.5" customHeight="1" outlineLevel="1" x14ac:dyDescent="0.3">
      <c r="A42" s="396"/>
      <c r="B42" s="402" t="s">
        <v>381</v>
      </c>
      <c r="C42" s="404"/>
      <c r="D42" s="309">
        <v>2100</v>
      </c>
      <c r="E42" s="46">
        <f>'Porte39-00'!E80</f>
        <v>13850</v>
      </c>
      <c r="F42" s="46">
        <f>F14+E42+F54+F59</f>
        <v>47520</v>
      </c>
      <c r="G42" s="46">
        <f t="shared" ref="G42:G50" si="8">G14+E42+F55+$F$59</f>
        <v>42490</v>
      </c>
    </row>
    <row r="43" spans="1:15" ht="25.5" customHeight="1" outlineLevel="1" x14ac:dyDescent="0.3">
      <c r="A43" s="396"/>
      <c r="B43" s="402"/>
      <c r="C43" s="404"/>
      <c r="D43" s="309">
        <v>2200</v>
      </c>
      <c r="E43" s="46">
        <f>'Porte39-00'!E81</f>
        <v>15125</v>
      </c>
      <c r="F43" s="46">
        <f>F15+E43+F56+F59</f>
        <v>51095</v>
      </c>
      <c r="G43" s="46">
        <f t="shared" si="8"/>
        <v>45605</v>
      </c>
    </row>
    <row r="44" spans="1:15" ht="25.5" customHeight="1" outlineLevel="1" x14ac:dyDescent="0.3">
      <c r="A44" s="396"/>
      <c r="B44" s="307" t="s">
        <v>381</v>
      </c>
      <c r="C44" s="404"/>
      <c r="D44" s="309">
        <v>2300</v>
      </c>
      <c r="E44" s="46">
        <f>'Porte39-00'!E82</f>
        <v>15125</v>
      </c>
      <c r="F44" s="46">
        <f>F16+E44+F57+F59</f>
        <v>56815</v>
      </c>
      <c r="G44" s="46">
        <f t="shared" si="8"/>
        <v>50865</v>
      </c>
    </row>
    <row r="45" spans="1:15" ht="25.5" customHeight="1" outlineLevel="1" x14ac:dyDescent="0.3">
      <c r="A45" s="396"/>
      <c r="B45" s="307" t="s">
        <v>381</v>
      </c>
      <c r="C45" s="404"/>
      <c r="D45" s="309">
        <v>2400</v>
      </c>
      <c r="E45" s="46">
        <f>'Porte39-00'!E83</f>
        <v>17753</v>
      </c>
      <c r="F45" s="46">
        <f>F17+E45+F59*E59+F63*E63</f>
        <v>51433</v>
      </c>
      <c r="G45" s="46">
        <f t="shared" si="8"/>
        <v>55293</v>
      </c>
    </row>
    <row r="46" spans="1:15" s="49" customFormat="1" ht="27" customHeight="1" x14ac:dyDescent="0.3">
      <c r="A46" s="396"/>
      <c r="B46" s="307" t="s">
        <v>381</v>
      </c>
      <c r="C46" s="404">
        <v>900</v>
      </c>
      <c r="D46" s="50">
        <v>2000</v>
      </c>
      <c r="E46" s="48">
        <f>E41</f>
        <v>13850</v>
      </c>
      <c r="F46" s="48">
        <f>F18+E46+F54+$F$59</f>
        <v>47520</v>
      </c>
      <c r="G46" s="48">
        <f t="shared" si="8"/>
        <v>37330</v>
      </c>
      <c r="J46"/>
      <c r="K46"/>
      <c r="L46"/>
      <c r="M46"/>
      <c r="N46"/>
      <c r="O46"/>
    </row>
    <row r="47" spans="1:15" ht="25.5" customHeight="1" outlineLevel="1" x14ac:dyDescent="0.3">
      <c r="A47" s="396"/>
      <c r="B47" s="402" t="s">
        <v>381</v>
      </c>
      <c r="C47" s="404"/>
      <c r="D47" s="309">
        <v>2100</v>
      </c>
      <c r="E47" s="46">
        <f>E42</f>
        <v>13850</v>
      </c>
      <c r="F47" s="46">
        <f t="shared" ref="F47:F50" si="9">F19+E47+F55+$F$59</f>
        <v>50070</v>
      </c>
      <c r="G47" s="46">
        <f t="shared" si="8"/>
        <v>37690</v>
      </c>
    </row>
    <row r="48" spans="1:15" ht="25.5" customHeight="1" outlineLevel="1" x14ac:dyDescent="0.3">
      <c r="A48" s="396"/>
      <c r="B48" s="402"/>
      <c r="C48" s="404"/>
      <c r="D48" s="309">
        <v>2200</v>
      </c>
      <c r="E48" s="46">
        <f t="shared" ref="E48:E49" si="10">E43</f>
        <v>15125</v>
      </c>
      <c r="F48" s="46">
        <f t="shared" si="9"/>
        <v>53845</v>
      </c>
      <c r="G48" s="46">
        <f t="shared" si="8"/>
        <v>40965</v>
      </c>
    </row>
    <row r="49" spans="1:7" ht="25.5" customHeight="1" outlineLevel="1" x14ac:dyDescent="0.3">
      <c r="A49" s="396"/>
      <c r="B49" s="307" t="s">
        <v>381</v>
      </c>
      <c r="C49" s="404"/>
      <c r="D49" s="309">
        <v>2300</v>
      </c>
      <c r="E49" s="46">
        <f t="shared" si="10"/>
        <v>15125</v>
      </c>
      <c r="F49" s="46">
        <f t="shared" si="9"/>
        <v>59765</v>
      </c>
      <c r="G49" s="46">
        <f t="shared" si="8"/>
        <v>42965</v>
      </c>
    </row>
    <row r="50" spans="1:7" ht="25.5" customHeight="1" outlineLevel="1" x14ac:dyDescent="0.3">
      <c r="A50" s="396"/>
      <c r="B50" s="307" t="s">
        <v>381</v>
      </c>
      <c r="C50" s="404"/>
      <c r="D50" s="309">
        <v>2400</v>
      </c>
      <c r="E50" s="46">
        <f>E45</f>
        <v>17753</v>
      </c>
      <c r="F50" s="46">
        <f t="shared" si="9"/>
        <v>64943</v>
      </c>
      <c r="G50" s="46">
        <f t="shared" si="8"/>
        <v>47633</v>
      </c>
    </row>
    <row r="51" spans="1:7" x14ac:dyDescent="0.3">
      <c r="A51" s="412"/>
      <c r="B51" s="412"/>
      <c r="C51" s="215"/>
      <c r="D51" s="289"/>
      <c r="E51" s="289"/>
      <c r="F51" s="289"/>
      <c r="G51" s="289"/>
    </row>
    <row r="52" spans="1:7" x14ac:dyDescent="0.3">
      <c r="A52" s="109" t="s">
        <v>383</v>
      </c>
      <c r="B52" s="288"/>
      <c r="C52" s="215"/>
      <c r="D52" s="289"/>
      <c r="E52" s="289"/>
      <c r="F52" s="289"/>
      <c r="G52" s="289"/>
    </row>
    <row r="53" spans="1:7" ht="41.25" customHeight="1" x14ac:dyDescent="0.3">
      <c r="A53" s="417" t="s">
        <v>169</v>
      </c>
      <c r="B53" s="418"/>
      <c r="C53" s="113" t="s">
        <v>173</v>
      </c>
      <c r="D53" s="113" t="s">
        <v>66</v>
      </c>
      <c r="E53" s="113" t="s">
        <v>172</v>
      </c>
      <c r="F53" s="113" t="s">
        <v>108</v>
      </c>
      <c r="G53" s="289"/>
    </row>
    <row r="54" spans="1:7" x14ac:dyDescent="0.3">
      <c r="A54" s="422" t="s">
        <v>168</v>
      </c>
      <c r="B54" s="422" t="s">
        <v>167</v>
      </c>
      <c r="C54" s="425">
        <v>3420</v>
      </c>
      <c r="D54" s="50">
        <v>2000</v>
      </c>
      <c r="E54" s="128">
        <v>2</v>
      </c>
      <c r="F54" s="48">
        <f>$C$54*E54</f>
        <v>6840</v>
      </c>
      <c r="G54" s="289"/>
    </row>
    <row r="55" spans="1:7" x14ac:dyDescent="0.3">
      <c r="A55" s="423"/>
      <c r="B55" s="423"/>
      <c r="C55" s="426"/>
      <c r="D55" s="293">
        <v>2100</v>
      </c>
      <c r="E55" s="128">
        <v>2</v>
      </c>
      <c r="F55" s="46">
        <f t="shared" ref="F55:F58" si="11">$C$54*E55</f>
        <v>6840</v>
      </c>
      <c r="G55" s="289"/>
    </row>
    <row r="56" spans="1:7" x14ac:dyDescent="0.3">
      <c r="A56" s="423"/>
      <c r="B56" s="423"/>
      <c r="C56" s="426"/>
      <c r="D56" s="293">
        <v>2200</v>
      </c>
      <c r="E56" s="128">
        <v>2</v>
      </c>
      <c r="F56" s="46">
        <f t="shared" si="11"/>
        <v>6840</v>
      </c>
      <c r="G56" s="289"/>
    </row>
    <row r="57" spans="1:7" x14ac:dyDescent="0.3">
      <c r="A57" s="423"/>
      <c r="B57" s="423"/>
      <c r="C57" s="426"/>
      <c r="D57" s="293">
        <v>2300</v>
      </c>
      <c r="E57" s="128">
        <v>3</v>
      </c>
      <c r="F57" s="46">
        <f t="shared" si="11"/>
        <v>10260</v>
      </c>
      <c r="G57" s="289"/>
    </row>
    <row r="58" spans="1:7" x14ac:dyDescent="0.3">
      <c r="A58" s="424"/>
      <c r="B58" s="424"/>
      <c r="C58" s="427"/>
      <c r="D58" s="309">
        <v>2400</v>
      </c>
      <c r="E58" s="128">
        <v>3</v>
      </c>
      <c r="F58" s="46">
        <f t="shared" si="11"/>
        <v>10260</v>
      </c>
      <c r="G58" s="305"/>
    </row>
    <row r="59" spans="1:7" ht="27.75" customHeight="1" x14ac:dyDescent="0.3">
      <c r="A59" s="129" t="s">
        <v>170</v>
      </c>
      <c r="B59" s="294" t="s">
        <v>171</v>
      </c>
      <c r="C59" s="131">
        <v>1680</v>
      </c>
      <c r="D59" s="132"/>
      <c r="E59" s="132">
        <v>1</v>
      </c>
      <c r="F59" s="48">
        <f>$C$59*E59</f>
        <v>1680</v>
      </c>
      <c r="G59" s="289"/>
    </row>
    <row r="110" spans="1:7" ht="15" customHeight="1" x14ac:dyDescent="0.3"/>
    <row r="111" spans="1:7" x14ac:dyDescent="0.3">
      <c r="A111" s="39"/>
      <c r="B111" s="39"/>
    </row>
    <row r="112" spans="1:7" x14ac:dyDescent="0.3">
      <c r="B112" s="39"/>
      <c r="C112" s="40"/>
      <c r="D112" s="40"/>
      <c r="E112" s="40"/>
      <c r="F112" s="40"/>
      <c r="G112" s="40"/>
    </row>
    <row r="113" spans="1:2" x14ac:dyDescent="0.3">
      <c r="A113" s="39"/>
      <c r="B113" s="39"/>
    </row>
    <row r="114" spans="1:2" x14ac:dyDescent="0.3">
      <c r="A114" s="39"/>
      <c r="B114" s="39"/>
    </row>
    <row r="115" spans="1:2" x14ac:dyDescent="0.3">
      <c r="A115" s="39"/>
      <c r="B115" s="39"/>
    </row>
    <row r="116" spans="1:2" x14ac:dyDescent="0.3">
      <c r="A116" s="39"/>
      <c r="B116" s="39"/>
    </row>
    <row r="117" spans="1:2" x14ac:dyDescent="0.3">
      <c r="A117" s="39"/>
      <c r="B117" s="39"/>
    </row>
    <row r="118" spans="1:2" x14ac:dyDescent="0.3">
      <c r="A118" s="39"/>
      <c r="B118" s="39"/>
    </row>
    <row r="119" spans="1:2" x14ac:dyDescent="0.3">
      <c r="A119" s="39"/>
      <c r="B119" s="39"/>
    </row>
    <row r="120" spans="1:2" x14ac:dyDescent="0.3">
      <c r="A120" s="39"/>
      <c r="B120" s="39"/>
    </row>
    <row r="121" spans="1:2" x14ac:dyDescent="0.3">
      <c r="A121" s="39"/>
      <c r="B121" s="39"/>
    </row>
    <row r="122" spans="1:2" x14ac:dyDescent="0.3">
      <c r="A122" s="39"/>
      <c r="B122" s="39"/>
    </row>
    <row r="123" spans="1:2" x14ac:dyDescent="0.3">
      <c r="A123" s="39"/>
      <c r="B123" s="39"/>
    </row>
    <row r="124" spans="1:2" x14ac:dyDescent="0.3">
      <c r="A124" s="39"/>
      <c r="B124" s="39"/>
    </row>
    <row r="125" spans="1:2" x14ac:dyDescent="0.3">
      <c r="A125" s="39"/>
      <c r="B125" s="39"/>
    </row>
    <row r="126" spans="1:2" x14ac:dyDescent="0.3">
      <c r="A126" s="39"/>
      <c r="B126" s="39"/>
    </row>
    <row r="127" spans="1:2" x14ac:dyDescent="0.3">
      <c r="A127" s="39"/>
      <c r="B127" s="39"/>
    </row>
    <row r="128" spans="1:2" x14ac:dyDescent="0.3">
      <c r="A128" s="39"/>
      <c r="B128" s="39"/>
    </row>
    <row r="129" spans="1:2" x14ac:dyDescent="0.3">
      <c r="A129" s="39"/>
      <c r="B129" s="39"/>
    </row>
    <row r="130" spans="1:2" x14ac:dyDescent="0.3">
      <c r="A130" s="39"/>
      <c r="B130" s="39"/>
    </row>
    <row r="131" spans="1:2" x14ac:dyDescent="0.3">
      <c r="A131" s="39"/>
      <c r="B131" s="39"/>
    </row>
    <row r="132" spans="1:2" x14ac:dyDescent="0.3">
      <c r="A132" s="39"/>
      <c r="B132" s="39"/>
    </row>
    <row r="133" spans="1:2" x14ac:dyDescent="0.3">
      <c r="A133" s="39"/>
      <c r="B133" s="39"/>
    </row>
    <row r="134" spans="1:2" x14ac:dyDescent="0.3">
      <c r="A134" s="39"/>
      <c r="B134" s="39"/>
    </row>
  </sheetData>
  <mergeCells count="26">
    <mergeCell ref="A54:A58"/>
    <mergeCell ref="B54:B58"/>
    <mergeCell ref="C54:C58"/>
    <mergeCell ref="A26:G26"/>
    <mergeCell ref="A27:B28"/>
    <mergeCell ref="D27:G27"/>
    <mergeCell ref="A51:B51"/>
    <mergeCell ref="A53:B53"/>
    <mergeCell ref="A38:G38"/>
    <mergeCell ref="A39:B40"/>
    <mergeCell ref="C39:G39"/>
    <mergeCell ref="B42:B43"/>
    <mergeCell ref="B47:B48"/>
    <mergeCell ref="A35:G35"/>
    <mergeCell ref="A3:G3"/>
    <mergeCell ref="A4:G4"/>
    <mergeCell ref="A10:G10"/>
    <mergeCell ref="A11:B12"/>
    <mergeCell ref="C11:F11"/>
    <mergeCell ref="A13:B22"/>
    <mergeCell ref="C13:C17"/>
    <mergeCell ref="C18:C22"/>
    <mergeCell ref="A29:B33"/>
    <mergeCell ref="A41:A50"/>
    <mergeCell ref="C41:C45"/>
    <mergeCell ref="C46:C50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35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19</vt:i4>
      </vt:variant>
    </vt:vector>
  </HeadingPairs>
  <TitlesOfParts>
    <vt:vector size="40" baseType="lpstr">
      <vt:lpstr>модели</vt:lpstr>
      <vt:lpstr>покрытия</vt:lpstr>
      <vt:lpstr>СОДЕРЖАНИЕ</vt:lpstr>
      <vt:lpstr>Погонаж</vt:lpstr>
      <vt:lpstr>Fusion</vt:lpstr>
      <vt:lpstr>Twist</vt:lpstr>
      <vt:lpstr>Porte39-00</vt:lpstr>
      <vt:lpstr>Porte 39-01</vt:lpstr>
      <vt:lpstr>Porte52-00</vt:lpstr>
      <vt:lpstr>Porte 52-01</vt:lpstr>
      <vt:lpstr>Slot</vt:lpstr>
      <vt:lpstr>Duet</vt:lpstr>
      <vt:lpstr>Vetro11, 13</vt:lpstr>
      <vt:lpstr>Vetro12,14,19</vt:lpstr>
      <vt:lpstr>Vetro18, 20, 21</vt:lpstr>
      <vt:lpstr>Накладки</vt:lpstr>
      <vt:lpstr>Стен.панели</vt:lpstr>
      <vt:lpstr>234</vt:lpstr>
      <vt:lpstr>наценки</vt:lpstr>
      <vt:lpstr>декоры</vt:lpstr>
      <vt:lpstr>база</vt:lpstr>
      <vt:lpstr>Погонаж!Заголовки_для_печати</vt:lpstr>
      <vt:lpstr>покрытия!Заголовки_для_печати</vt:lpstr>
      <vt:lpstr>Duet!Область_печати</vt:lpstr>
      <vt:lpstr>Fusion!Область_печати</vt:lpstr>
      <vt:lpstr>'Porte 39-01'!Область_печати</vt:lpstr>
      <vt:lpstr>'Porte 52-01'!Область_печати</vt:lpstr>
      <vt:lpstr>'Porte39-00'!Область_печати</vt:lpstr>
      <vt:lpstr>'Porte52-00'!Область_печати</vt:lpstr>
      <vt:lpstr>Slot!Область_печати</vt:lpstr>
      <vt:lpstr>Twist!Область_печати</vt:lpstr>
      <vt:lpstr>'Vetro11, 13'!Область_печати</vt:lpstr>
      <vt:lpstr>'Vetro12,14,19'!Область_печати</vt:lpstr>
      <vt:lpstr>'Vetro18, 20, 21'!Область_печати</vt:lpstr>
      <vt:lpstr>база!Область_печати</vt:lpstr>
      <vt:lpstr>декоры!Область_печати</vt:lpstr>
      <vt:lpstr>Накладки!Область_печати</vt:lpstr>
      <vt:lpstr>Погонаж!Область_печати</vt:lpstr>
      <vt:lpstr>покрытия!Область_печати</vt:lpstr>
      <vt:lpstr>Стен.панели!Область_печати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Мария Анкудинова</cp:lastModifiedBy>
  <cp:lastPrinted>2024-08-29T08:11:41Z</cp:lastPrinted>
  <dcterms:created xsi:type="dcterms:W3CDTF">2024-05-20T07:00:33Z</dcterms:created>
  <dcterms:modified xsi:type="dcterms:W3CDTF">2024-12-01T15:07:05Z</dcterms:modified>
</cp:coreProperties>
</file>