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8800" windowHeight="11805" tabRatio="929" firstSheet="18" activeTab="19"/>
  </bookViews>
  <sheets>
    <sheet name="!!!НАЦЕНКИ" sheetId="41" state="hidden" r:id="rId1"/>
    <sheet name="Содержание" sheetId="4" state="hidden" r:id="rId2"/>
    <sheet name="Категории покрытий" sheetId="5" state="hidden" r:id="rId3"/>
    <sheet name="Наценки" sheetId="32" state="hidden" r:id="rId4"/>
    <sheet name="Серия E" sheetId="6" state="hidden" r:id="rId5"/>
    <sheet name="Серия R" sheetId="7" state="hidden" r:id="rId6"/>
    <sheet name="Серия Z" sheetId="8" state="hidden" r:id="rId7"/>
    <sheet name="Серия R_описание" sheetId="38" state="hidden" r:id="rId8"/>
    <sheet name="Описание Е-серии" sheetId="40" state="hidden" r:id="rId9"/>
    <sheet name="Серия F" sheetId="9" state="hidden" r:id="rId10"/>
    <sheet name="Серия FV" sheetId="10" state="hidden" r:id="rId11"/>
    <sheet name="Серия K" sheetId="11" state="hidden" r:id="rId12"/>
    <sheet name="Серия S" sheetId="19" state="hidden" r:id="rId13"/>
    <sheet name="Серия V" sheetId="20" state="hidden" r:id="rId14"/>
    <sheet name="Серия Р" sheetId="22" state="hidden" r:id="rId15"/>
    <sheet name="Погонаж стандарт" sheetId="25" state="hidden" r:id="rId16"/>
    <sheet name="Погонаж компланар " sheetId="29" state="hidden" r:id="rId17"/>
    <sheet name="Прочие элементы" sheetId="26" state="hidden" r:id="rId18"/>
    <sheet name="Склад_Грунт" sheetId="31" r:id="rId19"/>
    <sheet name="Склад_Эмаль" sheetId="30" r:id="rId20"/>
    <sheet name="ф" sheetId="42" state="hidden" r:id="rId21"/>
    <sheet name="Наценки на полотна" sheetId="39" state="hidden" r:id="rId22"/>
  </sheets>
  <externalReferences>
    <externalReference r:id="rId23"/>
  </externalReferences>
  <definedNames>
    <definedName name="Enamale" localSheetId="2">#REF!</definedName>
    <definedName name="Enamale" localSheetId="21">#REF!</definedName>
    <definedName name="Enamale" localSheetId="8">#REF!</definedName>
    <definedName name="Enamale" localSheetId="17">#REF!</definedName>
    <definedName name="Enamale" localSheetId="18">#REF!</definedName>
    <definedName name="Enamale" localSheetId="19">#REF!</definedName>
    <definedName name="Enamale" localSheetId="20">#REF!</definedName>
    <definedName name="Enamale">#REF!</definedName>
    <definedName name="Excel_BuiltIn__FilterDatabase_1" localSheetId="2">#REF!</definedName>
    <definedName name="Excel_BuiltIn__FilterDatabase_1" localSheetId="21">#REF!</definedName>
    <definedName name="Excel_BuiltIn__FilterDatabase_1" localSheetId="8">#REF!</definedName>
    <definedName name="Excel_BuiltIn__FilterDatabase_1" localSheetId="17">#REF!</definedName>
    <definedName name="Excel_BuiltIn__FilterDatabase_1" localSheetId="18">#REF!</definedName>
    <definedName name="Excel_BuiltIn__FilterDatabase_1" localSheetId="19">#REF!</definedName>
    <definedName name="Excel_BuiltIn__FilterDatabase_1">#REF!</definedName>
    <definedName name="Excel_BuiltIn_Print_Area_1_1" localSheetId="2">#REF!</definedName>
    <definedName name="Excel_BuiltIn_Print_Area_1_1" localSheetId="21">#REF!</definedName>
    <definedName name="Excel_BuiltIn_Print_Area_1_1" localSheetId="8">#REF!</definedName>
    <definedName name="Excel_BuiltIn_Print_Area_1_1" localSheetId="17">#REF!</definedName>
    <definedName name="Excel_BuiltIn_Print_Area_1_1" localSheetId="18">#REF!</definedName>
    <definedName name="Excel_BuiltIn_Print_Area_1_1" localSheetId="19">#REF!</definedName>
    <definedName name="Excel_BuiltIn_Print_Area_1_1">#REF!</definedName>
    <definedName name="Excel_BuiltIn_Print_Area_1_1_1" localSheetId="2">#REF!</definedName>
    <definedName name="Excel_BuiltIn_Print_Area_1_1_1" localSheetId="21">#REF!</definedName>
    <definedName name="Excel_BuiltIn_Print_Area_1_1_1" localSheetId="8">#REF!</definedName>
    <definedName name="Excel_BuiltIn_Print_Area_1_1_1" localSheetId="17">#REF!</definedName>
    <definedName name="Excel_BuiltIn_Print_Area_1_1_1" localSheetId="18">#REF!</definedName>
    <definedName name="Excel_BuiltIn_Print_Area_1_1_1" localSheetId="19">#REF!</definedName>
    <definedName name="Excel_BuiltIn_Print_Area_1_1_1">#REF!</definedName>
    <definedName name="Excel_BuiltIn_Print_Area_1_2" localSheetId="2">#REF!</definedName>
    <definedName name="Excel_BuiltIn_Print_Area_1_2" localSheetId="21">#REF!</definedName>
    <definedName name="Excel_BuiltIn_Print_Area_1_2" localSheetId="8">#REF!</definedName>
    <definedName name="Excel_BuiltIn_Print_Area_1_2" localSheetId="17">#REF!</definedName>
    <definedName name="Excel_BuiltIn_Print_Area_1_2" localSheetId="18">#REF!</definedName>
    <definedName name="Excel_BuiltIn_Print_Area_1_2" localSheetId="19">#REF!</definedName>
    <definedName name="Excel_BuiltIn_Print_Area_1_2">#REF!</definedName>
    <definedName name="Excel_BuiltIn_Print_Titles_1" localSheetId="2">#REF!</definedName>
    <definedName name="Excel_BuiltIn_Print_Titles_1" localSheetId="21">#REF!</definedName>
    <definedName name="Excel_BuiltIn_Print_Titles_1" localSheetId="8">#REF!</definedName>
    <definedName name="Excel_BuiltIn_Print_Titles_1" localSheetId="17">#REF!</definedName>
    <definedName name="Excel_BuiltIn_Print_Titles_1" localSheetId="18">#REF!</definedName>
    <definedName name="Excel_BuiltIn_Print_Titles_1" localSheetId="19">#REF!</definedName>
    <definedName name="Excel_BuiltIn_Print_Titles_1">#REF!</definedName>
    <definedName name="Excel_BuiltIn_Print_Titles_1_1" localSheetId="2">#REF!</definedName>
    <definedName name="Excel_BuiltIn_Print_Titles_1_1" localSheetId="21">#REF!</definedName>
    <definedName name="Excel_BuiltIn_Print_Titles_1_1" localSheetId="8">#REF!</definedName>
    <definedName name="Excel_BuiltIn_Print_Titles_1_1" localSheetId="17">#REF!</definedName>
    <definedName name="Excel_BuiltIn_Print_Titles_1_1" localSheetId="18">#REF!</definedName>
    <definedName name="Excel_BuiltIn_Print_Titles_1_1" localSheetId="19">#REF!</definedName>
    <definedName name="Excel_BuiltIn_Print_Titles_1_1">#REF!</definedName>
    <definedName name="апвп4" localSheetId="2">#REF!</definedName>
    <definedName name="апвп4" localSheetId="21">#REF!</definedName>
    <definedName name="апвп4" localSheetId="8">#REF!</definedName>
    <definedName name="апвп4" localSheetId="17">#REF!</definedName>
    <definedName name="апвп4" localSheetId="18">#REF!</definedName>
    <definedName name="апвп4" localSheetId="19">#REF!</definedName>
    <definedName name="апвп4">#REF!</definedName>
    <definedName name="Декоры" localSheetId="2">#REF!</definedName>
    <definedName name="Декоры" localSheetId="21">#REF!</definedName>
    <definedName name="Декоры" localSheetId="8">#REF!</definedName>
    <definedName name="Декоры" localSheetId="17">#REF!</definedName>
    <definedName name="Декоры" localSheetId="18">#REF!</definedName>
    <definedName name="Декоры" localSheetId="19">#REF!</definedName>
    <definedName name="Декоры">#REF!</definedName>
    <definedName name="Еми_АПАР_ми" localSheetId="2">#REF!</definedName>
    <definedName name="Еми_АПАР_ми" localSheetId="21">#REF!</definedName>
    <definedName name="Еми_АПАР_ми" localSheetId="8">#REF!</definedName>
    <definedName name="Еми_АПАР_ми" localSheetId="17">#REF!</definedName>
    <definedName name="Еми_АПАР_ми" localSheetId="18">#REF!</definedName>
    <definedName name="Еми_АПАР_ми" localSheetId="19">#REF!</definedName>
    <definedName name="Еми_АПАР_ми">#REF!</definedName>
    <definedName name="К111111" localSheetId="2">#REF!</definedName>
    <definedName name="К111111" localSheetId="21">#REF!</definedName>
    <definedName name="К111111" localSheetId="8">#REF!</definedName>
    <definedName name="К111111" localSheetId="17">#REF!</definedName>
    <definedName name="К111111" localSheetId="18">#REF!</definedName>
    <definedName name="К111111" localSheetId="19">#REF!</definedName>
    <definedName name="К111111">#REF!</definedName>
    <definedName name="кува2" localSheetId="2">#REF!</definedName>
    <definedName name="кува2" localSheetId="21">#REF!</definedName>
    <definedName name="кува2" localSheetId="8">#REF!</definedName>
    <definedName name="кува2" localSheetId="17">#REF!</definedName>
    <definedName name="кува2" localSheetId="18">#REF!</definedName>
    <definedName name="кува2" localSheetId="19">#REF!</definedName>
    <definedName name="кува2">#REF!</definedName>
    <definedName name="кува4" localSheetId="2">#REF!</definedName>
    <definedName name="кува4" localSheetId="21">#REF!</definedName>
    <definedName name="кува4" localSheetId="8">#REF!</definedName>
    <definedName name="кува4" localSheetId="17">#REF!</definedName>
    <definedName name="кува4" localSheetId="18">#REF!</definedName>
    <definedName name="кува4" localSheetId="19">#REF!</definedName>
    <definedName name="кува4">#REF!</definedName>
    <definedName name="куыв3" localSheetId="2">#REF!</definedName>
    <definedName name="куыв3" localSheetId="21">#REF!</definedName>
    <definedName name="куыв3" localSheetId="8">#REF!</definedName>
    <definedName name="куыв3" localSheetId="17">#REF!</definedName>
    <definedName name="куыв3" localSheetId="18">#REF!</definedName>
    <definedName name="куыв3" localSheetId="19">#REF!</definedName>
    <definedName name="куыв3">#REF!</definedName>
    <definedName name="НОВОЕ" localSheetId="2">#REF!</definedName>
    <definedName name="НОВОЕ" localSheetId="21">#REF!</definedName>
    <definedName name="НОВОЕ" localSheetId="8">#REF!</definedName>
    <definedName name="НОВОЕ" localSheetId="17">#REF!</definedName>
    <definedName name="НОВОЕ" localSheetId="18">#REF!</definedName>
    <definedName name="НОВОЕ" localSheetId="19">#REF!</definedName>
    <definedName name="НОВОЕ">#REF!</definedName>
    <definedName name="_xlnm.Print_Area" localSheetId="21">'Наценки на полотна'!$A$1:$H$14</definedName>
    <definedName name="_xlnm.Print_Area" localSheetId="8">'Описание Е-серии'!$A$1:$H$31</definedName>
    <definedName name="_xlnm.Print_Area" localSheetId="16">'Погонаж компланар '!$C$1:$I$20</definedName>
    <definedName name="_xlnm.Print_Area" localSheetId="15">'Погонаж стандарт'!$C$1:$I$64</definedName>
    <definedName name="_xlnm.Print_Area" localSheetId="17">'Прочие элементы'!$C$1:$I$33</definedName>
    <definedName name="_xlnm.Print_Area" localSheetId="4">'Серия E'!$A$1:$K$47</definedName>
    <definedName name="_xlnm.Print_Area" localSheetId="9">'Серия F'!$C$1:$P$53</definedName>
    <definedName name="_xlnm.Print_Area" localSheetId="10">'Серия FV'!$C$1:$P$39</definedName>
    <definedName name="_xlnm.Print_Area" localSheetId="11">'Серия K'!$C$1:$I$60</definedName>
    <definedName name="_xlnm.Print_Area" localSheetId="5">'Серия R'!$C$1:$I$34</definedName>
    <definedName name="_xlnm.Print_Area" localSheetId="7">'Серия R_описание'!$A$1:$I$22</definedName>
    <definedName name="_xlnm.Print_Area" localSheetId="12">'Серия S'!$B$1:$I$34</definedName>
    <definedName name="_xlnm.Print_Area" localSheetId="13">'Серия V'!$C$1:$I$34</definedName>
    <definedName name="_xlnm.Print_Area" localSheetId="6">'Серия Z'!$C$1:$I$30</definedName>
    <definedName name="_xlnm.Print_Area" localSheetId="14">'Серия Р'!$B$1:$I$29</definedName>
    <definedName name="_xlnm.Print_Area" localSheetId="18">Склад_Грунт!$A$1:$O$33</definedName>
    <definedName name="_xlnm.Print_Area" localSheetId="19">Склад_Эмаль!$A$1:$O$28</definedName>
    <definedName name="погонаж_до1марта" localSheetId="2">#REF!</definedName>
    <definedName name="погонаж_до1марта" localSheetId="21">#REF!</definedName>
    <definedName name="погонаж_до1марта" localSheetId="8">#REF!</definedName>
    <definedName name="погонаж_до1марта" localSheetId="17">#REF!</definedName>
    <definedName name="погонаж_до1марта" localSheetId="18">#REF!</definedName>
    <definedName name="погонаж_до1марта" localSheetId="19">#REF!</definedName>
    <definedName name="погонаж_до1марта" localSheetId="20">#REF!</definedName>
    <definedName name="погонаж_до1марта">#REF!</definedName>
    <definedName name="склад2" localSheetId="21">#REF!</definedName>
    <definedName name="склад2" localSheetId="8">#REF!</definedName>
    <definedName name="склад2">#REF!</definedName>
    <definedName name="СкладскаяПрограмма" localSheetId="21">#REF!</definedName>
    <definedName name="СкладскаяПрограмма" localSheetId="8">#REF!</definedName>
    <definedName name="СкладскаяПрограмма" localSheetId="18">#REF!</definedName>
    <definedName name="СкладскаяПрограмма">#REF!</definedName>
    <definedName name="фурнитура22" localSheetId="2">#REF!</definedName>
    <definedName name="фурнитура22" localSheetId="21">#REF!</definedName>
    <definedName name="фурнитура22" localSheetId="8">#REF!</definedName>
    <definedName name="фурнитура22" localSheetId="17">#REF!</definedName>
    <definedName name="фурнитура22" localSheetId="18">#REF!</definedName>
    <definedName name="фурнитура22" localSheetId="19">#REF!</definedName>
    <definedName name="фурнитура22">#REF!</definedName>
    <definedName name="ыапва1" localSheetId="2">#REF!</definedName>
    <definedName name="ыапва1" localSheetId="21">#REF!</definedName>
    <definedName name="ыапва1" localSheetId="8">#REF!</definedName>
    <definedName name="ыапва1" localSheetId="17">#REF!</definedName>
    <definedName name="ыапва1" localSheetId="18">#REF!</definedName>
    <definedName name="ыапва1" localSheetId="19">#REF!</definedName>
    <definedName name="ыапва1">#REF!</definedName>
    <definedName name="ыва2" localSheetId="2">#REF!</definedName>
    <definedName name="ыва2" localSheetId="21">#REF!</definedName>
    <definedName name="ыва2" localSheetId="8">#REF!</definedName>
    <definedName name="ыва2" localSheetId="17">#REF!</definedName>
    <definedName name="ыва2" localSheetId="18">#REF!</definedName>
    <definedName name="ыва2" localSheetId="19">#REF!</definedName>
    <definedName name="ыва2">#REF!</definedName>
  </definedNames>
  <calcPr calcId="144525"/>
</workbook>
</file>

<file path=xl/calcChain.xml><?xml version="1.0" encoding="utf-8"?>
<calcChain xmlns="http://schemas.openxmlformats.org/spreadsheetml/2006/main">
  <c r="G24" i="31" l="1"/>
  <c r="I6" i="26" l="1"/>
  <c r="I6" i="29"/>
  <c r="I6" i="25"/>
  <c r="I6" i="22"/>
  <c r="I6" i="20"/>
  <c r="I6" i="19"/>
  <c r="I6" i="11"/>
  <c r="P6" i="10"/>
  <c r="P6" i="9"/>
  <c r="K6" i="6"/>
  <c r="K6" i="30"/>
  <c r="K6" i="31"/>
  <c r="G16" i="31"/>
  <c r="G15" i="31"/>
  <c r="G17" i="31"/>
  <c r="G14" i="31"/>
  <c r="C25" i="42" l="1"/>
  <c r="B25" i="42"/>
  <c r="B27" i="42"/>
  <c r="C27" i="42" s="1"/>
  <c r="B26" i="42"/>
  <c r="C26" i="42" s="1"/>
  <c r="B24" i="42"/>
  <c r="C24" i="42" s="1"/>
  <c r="J12" i="31" l="1"/>
  <c r="J11" i="31"/>
  <c r="J10" i="31"/>
  <c r="J9" i="31"/>
  <c r="I25" i="31"/>
  <c r="I24" i="31"/>
  <c r="I22" i="31"/>
  <c r="G22" i="31"/>
  <c r="I21" i="31"/>
  <c r="G21" i="31"/>
  <c r="I19" i="31"/>
  <c r="G19" i="31"/>
  <c r="I18" i="31"/>
  <c r="G18" i="31"/>
  <c r="O13" i="31"/>
  <c r="N13" i="31"/>
  <c r="M13" i="31"/>
  <c r="L11" i="31"/>
  <c r="B21" i="42"/>
  <c r="C21" i="42" s="1"/>
  <c r="C20" i="42"/>
  <c r="B20" i="42"/>
  <c r="B19" i="42"/>
  <c r="C19" i="42" s="1"/>
  <c r="C18" i="42"/>
  <c r="B18" i="42"/>
  <c r="B15" i="42"/>
  <c r="C15" i="42" s="1"/>
  <c r="B14" i="42"/>
  <c r="C14" i="42" s="1"/>
  <c r="B13" i="42"/>
  <c r="C13" i="42" s="1"/>
  <c r="B12" i="42"/>
  <c r="C12" i="42" s="1"/>
  <c r="C9" i="42"/>
  <c r="C8" i="42"/>
  <c r="J17" i="31" s="1"/>
  <c r="K17" i="31" s="1"/>
  <c r="C7" i="42"/>
  <c r="J16" i="31" s="1"/>
  <c r="C6" i="42"/>
  <c r="J15" i="31" s="1"/>
  <c r="C5" i="42"/>
  <c r="J14" i="31" s="1"/>
  <c r="J10" i="30"/>
  <c r="K10" i="30" s="1"/>
  <c r="J11" i="30"/>
  <c r="K11" i="30" s="1"/>
  <c r="J12" i="30"/>
  <c r="K12" i="30" s="1"/>
  <c r="J13" i="30"/>
  <c r="G13" i="30" s="1"/>
  <c r="J14" i="30"/>
  <c r="J9" i="30"/>
  <c r="K9" i="30" s="1"/>
  <c r="K14" i="30"/>
  <c r="K13" i="30"/>
  <c r="L10" i="31" l="1"/>
  <c r="O10" i="31" s="1"/>
  <c r="G10" i="31"/>
  <c r="K9" i="31"/>
  <c r="G9" i="31"/>
  <c r="K11" i="31"/>
  <c r="G11" i="31"/>
  <c r="L12" i="31"/>
  <c r="G12" i="31"/>
  <c r="J18" i="30"/>
  <c r="H12" i="31"/>
  <c r="G12" i="30"/>
  <c r="K10" i="31"/>
  <c r="J21" i="31"/>
  <c r="J18" i="31"/>
  <c r="L16" i="31"/>
  <c r="O16" i="31" s="1"/>
  <c r="K16" i="31"/>
  <c r="H16" i="31"/>
  <c r="J22" i="31"/>
  <c r="H10" i="31"/>
  <c r="N10" i="31" s="1"/>
  <c r="K12" i="31"/>
  <c r="H14" i="31"/>
  <c r="H18" i="31" s="1"/>
  <c r="K14" i="31"/>
  <c r="K21" i="31" s="1"/>
  <c r="M12" i="31"/>
  <c r="M11" i="31"/>
  <c r="J24" i="31"/>
  <c r="H11" i="31"/>
  <c r="N11" i="31" s="1"/>
  <c r="H9" i="31"/>
  <c r="M10" i="31"/>
  <c r="O11" i="31"/>
  <c r="O12" i="31"/>
  <c r="L15" i="31"/>
  <c r="L17" i="31"/>
  <c r="J19" i="31"/>
  <c r="J25" i="31"/>
  <c r="L9" i="31"/>
  <c r="L14" i="31"/>
  <c r="H15" i="31"/>
  <c r="K15" i="31"/>
  <c r="H17" i="31"/>
  <c r="G9" i="30"/>
  <c r="G11" i="30"/>
  <c r="G14" i="30"/>
  <c r="G10" i="30"/>
  <c r="H9" i="30"/>
  <c r="H10" i="30"/>
  <c r="H11" i="30"/>
  <c r="H12" i="30"/>
  <c r="H13" i="30"/>
  <c r="H14" i="30"/>
  <c r="N12" i="31" l="1"/>
  <c r="M16" i="31"/>
  <c r="N16" i="31"/>
  <c r="K25" i="31"/>
  <c r="K18" i="31"/>
  <c r="K24" i="31"/>
  <c r="H21" i="31"/>
  <c r="G25" i="31"/>
  <c r="H24" i="31"/>
  <c r="K19" i="31"/>
  <c r="K22" i="31"/>
  <c r="L18" i="31"/>
  <c r="L22" i="31" s="1"/>
  <c r="N14" i="31"/>
  <c r="O14" i="31"/>
  <c r="O18" i="31" s="1"/>
  <c r="M14" i="31"/>
  <c r="M18" i="31" s="1"/>
  <c r="L19" i="31"/>
  <c r="L21" i="31" s="1"/>
  <c r="O15" i="31"/>
  <c r="M15" i="31"/>
  <c r="N15" i="31"/>
  <c r="H22" i="31"/>
  <c r="H19" i="31"/>
  <c r="L24" i="31"/>
  <c r="N9" i="31"/>
  <c r="L25" i="31"/>
  <c r="O9" i="31"/>
  <c r="M9" i="31"/>
  <c r="H25" i="31"/>
  <c r="N17" i="31"/>
  <c r="O17" i="31"/>
  <c r="M17" i="31"/>
  <c r="N18" i="31" l="1"/>
  <c r="M25" i="31"/>
  <c r="M24" i="31"/>
  <c r="M26" i="31" s="1"/>
  <c r="M19" i="31"/>
  <c r="M21" i="31" s="1"/>
  <c r="M23" i="31" s="1"/>
  <c r="O20" i="31"/>
  <c r="O22" i="31" s="1"/>
  <c r="O25" i="31"/>
  <c r="O24" i="31"/>
  <c r="O26" i="31" s="1"/>
  <c r="N24" i="31"/>
  <c r="N26" i="31" s="1"/>
  <c r="N25" i="31"/>
  <c r="N19" i="31"/>
  <c r="N21" i="31" s="1"/>
  <c r="N23" i="31" s="1"/>
  <c r="O19" i="31"/>
  <c r="O21" i="31" s="1"/>
  <c r="O23" i="31" s="1"/>
  <c r="M20" i="31"/>
  <c r="M22" i="31" s="1"/>
  <c r="N20" i="31"/>
  <c r="N22" i="31" l="1"/>
  <c r="F32" i="26"/>
  <c r="F27" i="26"/>
  <c r="F26" i="26"/>
  <c r="F20" i="26"/>
  <c r="F21" i="26" l="1"/>
  <c r="F15" i="26"/>
  <c r="F14" i="26"/>
  <c r="F9" i="26"/>
  <c r="F20" i="29"/>
  <c r="F14" i="29"/>
  <c r="F15" i="29"/>
  <c r="F9" i="29"/>
  <c r="F64" i="25"/>
  <c r="F58" i="25"/>
  <c r="F52" i="25"/>
  <c r="F44" i="25"/>
  <c r="F32" i="25"/>
  <c r="F38" i="25" s="1"/>
  <c r="F26" i="25"/>
  <c r="F20" i="25"/>
  <c r="F59" i="25"/>
  <c r="F53" i="25"/>
  <c r="F47" i="25"/>
  <c r="F39" i="25"/>
  <c r="F27" i="25"/>
  <c r="F21" i="25"/>
  <c r="F15" i="25"/>
  <c r="F14" i="25"/>
  <c r="F9" i="25"/>
  <c r="F9" i="22"/>
  <c r="F14" i="22" s="1"/>
  <c r="F19" i="22" s="1"/>
  <c r="F14" i="20"/>
  <c r="F9" i="20"/>
  <c r="F9" i="19"/>
  <c r="F14" i="19" s="1"/>
  <c r="F41" i="6"/>
  <c r="F46" i="6"/>
  <c r="F43" i="6"/>
  <c r="F40" i="6"/>
  <c r="F37" i="6"/>
  <c r="F34" i="6"/>
  <c r="F20" i="6"/>
  <c r="F21" i="6" s="1"/>
  <c r="F50" i="11"/>
  <c r="F51" i="11"/>
  <c r="F48" i="11"/>
  <c r="F44" i="11"/>
  <c r="F45" i="11"/>
  <c r="F38" i="11"/>
  <c r="F39" i="11"/>
  <c r="F32" i="11"/>
  <c r="F34" i="11" s="1"/>
  <c r="F33" i="11"/>
  <c r="F24" i="11"/>
  <c r="F19" i="11"/>
  <c r="F14" i="11"/>
  <c r="F9" i="11"/>
  <c r="F52" i="9"/>
  <c r="F36" i="10" s="1"/>
  <c r="F51" i="9"/>
  <c r="F35" i="10" s="1"/>
  <c r="F36" i="9"/>
  <c r="F10" i="10" s="1"/>
  <c r="F25" i="9"/>
  <c r="F20" i="9"/>
  <c r="F15" i="9"/>
  <c r="F10" i="9"/>
  <c r="F12" i="6"/>
  <c r="F11" i="6"/>
  <c r="F10" i="6"/>
  <c r="F9" i="6"/>
  <c r="G9" i="6" s="1"/>
  <c r="J9" i="6" s="1"/>
  <c r="F23" i="6" l="1"/>
  <c r="F35" i="6" s="1"/>
  <c r="F32" i="6"/>
  <c r="F19" i="19"/>
  <c r="F24" i="22"/>
  <c r="F41" i="9"/>
  <c r="F53" i="9"/>
  <c r="F37" i="10" s="1"/>
  <c r="A35" i="5"/>
  <c r="G37" i="10" l="1"/>
  <c r="J37" i="10" s="1"/>
  <c r="G36" i="10"/>
  <c r="J36" i="10" s="1"/>
  <c r="G35" i="10"/>
  <c r="J35" i="10" s="1"/>
  <c r="G10" i="10"/>
  <c r="J10" i="10" s="1"/>
  <c r="G52" i="9"/>
  <c r="J52" i="9" s="1"/>
  <c r="H52" i="9" s="1"/>
  <c r="G51" i="9"/>
  <c r="J51" i="9" s="1"/>
  <c r="H51" i="9" s="1"/>
  <c r="G41" i="9"/>
  <c r="J41" i="9" s="1"/>
  <c r="O41" i="9" s="1"/>
  <c r="G36" i="9"/>
  <c r="J36" i="9" s="1"/>
  <c r="O36" i="9" s="1"/>
  <c r="M36" i="9" s="1"/>
  <c r="F29" i="9"/>
  <c r="F28" i="9"/>
  <c r="G28" i="9" s="1"/>
  <c r="J28" i="9" s="1"/>
  <c r="F27" i="9"/>
  <c r="F26" i="9"/>
  <c r="G26" i="9" s="1"/>
  <c r="J26" i="9" s="1"/>
  <c r="O26" i="9" s="1"/>
  <c r="M26" i="9" s="1"/>
  <c r="G29" i="9"/>
  <c r="J29" i="9" s="1"/>
  <c r="O29" i="9" s="1"/>
  <c r="M29" i="9" s="1"/>
  <c r="F24" i="9"/>
  <c r="G24" i="9" s="1"/>
  <c r="J24" i="9" s="1"/>
  <c r="O24" i="9" s="1"/>
  <c r="M24" i="9" s="1"/>
  <c r="F23" i="9"/>
  <c r="G23" i="9" s="1"/>
  <c r="J23" i="9" s="1"/>
  <c r="O23" i="9" s="1"/>
  <c r="M23" i="9" s="1"/>
  <c r="F22" i="9"/>
  <c r="G22" i="9" s="1"/>
  <c r="J22" i="9" s="1"/>
  <c r="O22" i="9" s="1"/>
  <c r="M22" i="9" s="1"/>
  <c r="F21" i="9"/>
  <c r="G21" i="9" s="1"/>
  <c r="J21" i="9" s="1"/>
  <c r="O21" i="9" s="1"/>
  <c r="M21" i="9" s="1"/>
  <c r="F19" i="9"/>
  <c r="G19" i="9" s="1"/>
  <c r="J19" i="9" s="1"/>
  <c r="O19" i="9" s="1"/>
  <c r="M19" i="9" s="1"/>
  <c r="F18" i="9"/>
  <c r="G18" i="9" s="1"/>
  <c r="J18" i="9" s="1"/>
  <c r="O18" i="9" s="1"/>
  <c r="M18" i="9" s="1"/>
  <c r="F17" i="9"/>
  <c r="F16" i="9"/>
  <c r="G16" i="9" s="1"/>
  <c r="J16" i="9" s="1"/>
  <c r="O16" i="9" s="1"/>
  <c r="M16" i="9" s="1"/>
  <c r="G17" i="9"/>
  <c r="J17" i="9" s="1"/>
  <c r="O17" i="9" s="1"/>
  <c r="M17" i="9" s="1"/>
  <c r="F14" i="9"/>
  <c r="G14" i="9" s="1"/>
  <c r="J14" i="9" s="1"/>
  <c r="O14" i="9" s="1"/>
  <c r="M14" i="9" s="1"/>
  <c r="F13" i="9"/>
  <c r="G13" i="9" s="1"/>
  <c r="J13" i="9" s="1"/>
  <c r="O13" i="9" s="1"/>
  <c r="M13" i="9" s="1"/>
  <c r="F12" i="9"/>
  <c r="G12" i="9" s="1"/>
  <c r="J12" i="9" s="1"/>
  <c r="O12" i="9" s="1"/>
  <c r="M12" i="9" s="1"/>
  <c r="F11" i="9"/>
  <c r="G11" i="9" s="1"/>
  <c r="J11" i="9" s="1"/>
  <c r="O11" i="9" s="1"/>
  <c r="M11" i="9" s="1"/>
  <c r="G27" i="9"/>
  <c r="J27" i="9" s="1"/>
  <c r="O27" i="9" s="1"/>
  <c r="M27" i="9" s="1"/>
  <c r="G25" i="9"/>
  <c r="J25" i="9" s="1"/>
  <c r="O25" i="9" s="1"/>
  <c r="P25" i="9" s="1"/>
  <c r="G20" i="9"/>
  <c r="J20" i="9" s="1"/>
  <c r="O20" i="9" s="1"/>
  <c r="P20" i="9" s="1"/>
  <c r="G15" i="9"/>
  <c r="G10" i="9"/>
  <c r="J15" i="9"/>
  <c r="O15" i="9" s="1"/>
  <c r="G43" i="6"/>
  <c r="J43" i="6" s="1"/>
  <c r="H43" i="6" s="1"/>
  <c r="G41" i="6"/>
  <c r="J41" i="6" s="1"/>
  <c r="H41" i="6" s="1"/>
  <c r="G40" i="6"/>
  <c r="J40" i="6" s="1"/>
  <c r="H40" i="6" s="1"/>
  <c r="G37" i="6"/>
  <c r="J37" i="6" s="1"/>
  <c r="H37" i="6" s="1"/>
  <c r="G46" i="6"/>
  <c r="J46" i="6" s="1"/>
  <c r="H46" i="6" s="1"/>
  <c r="G32" i="6"/>
  <c r="J32" i="6" s="1"/>
  <c r="H32" i="6" s="1"/>
  <c r="J31" i="6"/>
  <c r="H31" i="6" s="1"/>
  <c r="J29" i="6"/>
  <c r="H29" i="6" s="1"/>
  <c r="G44" i="6"/>
  <c r="J44" i="6" s="1"/>
  <c r="H44" i="6" s="1"/>
  <c r="G31" i="6"/>
  <c r="G29" i="6"/>
  <c r="G28" i="6"/>
  <c r="J28" i="6" s="1"/>
  <c r="H28" i="6" s="1"/>
  <c r="G25" i="6"/>
  <c r="J25" i="6" s="1"/>
  <c r="H25" i="6" s="1"/>
  <c r="G22" i="6"/>
  <c r="J22" i="6" s="1"/>
  <c r="H22" i="6" s="1"/>
  <c r="G20" i="6"/>
  <c r="J20" i="6" s="1"/>
  <c r="H20" i="6" s="1"/>
  <c r="G12" i="32"/>
  <c r="I15" i="32" s="1"/>
  <c r="G23" i="6"/>
  <c r="J23" i="6" s="1"/>
  <c r="H23" i="6" s="1"/>
  <c r="F30" i="6"/>
  <c r="G21" i="6"/>
  <c r="J21" i="6" s="1"/>
  <c r="H21" i="6" s="1"/>
  <c r="G34" i="6" l="1"/>
  <c r="J34" i="6" s="1"/>
  <c r="H34" i="6" s="1"/>
  <c r="J10" i="9"/>
  <c r="H10" i="9" s="1"/>
  <c r="F26" i="6"/>
  <c r="F33" i="6"/>
  <c r="G42" i="6"/>
  <c r="J42" i="6" s="1"/>
  <c r="H42" i="6" s="1"/>
  <c r="G35" i="6"/>
  <c r="J35" i="6" s="1"/>
  <c r="H35" i="6" s="1"/>
  <c r="F24" i="6"/>
  <c r="F42" i="6"/>
  <c r="P15" i="9"/>
  <c r="M15" i="9"/>
  <c r="H12" i="9"/>
  <c r="H15" i="9"/>
  <c r="H18" i="9"/>
  <c r="H25" i="9"/>
  <c r="M20" i="9"/>
  <c r="H14" i="9"/>
  <c r="H16" i="9"/>
  <c r="H20" i="9"/>
  <c r="M25" i="9"/>
  <c r="H10" i="10"/>
  <c r="O10" i="10"/>
  <c r="H36" i="9"/>
  <c r="O28" i="9"/>
  <c r="M28" i="9" s="1"/>
  <c r="H28" i="9"/>
  <c r="H22" i="9"/>
  <c r="H24" i="9"/>
  <c r="H11" i="9"/>
  <c r="H13" i="9"/>
  <c r="H17" i="9"/>
  <c r="H19" i="9"/>
  <c r="H21" i="9"/>
  <c r="H23" i="9"/>
  <c r="H27" i="9"/>
  <c r="H29" i="9"/>
  <c r="H26" i="9"/>
  <c r="N15" i="9"/>
  <c r="N25" i="9"/>
  <c r="P12" i="9"/>
  <c r="N12" i="9"/>
  <c r="P14" i="9"/>
  <c r="N14" i="9"/>
  <c r="N16" i="9"/>
  <c r="P16" i="9"/>
  <c r="P18" i="9"/>
  <c r="N18" i="9"/>
  <c r="P22" i="9"/>
  <c r="N22" i="9"/>
  <c r="P24" i="9"/>
  <c r="N24" i="9"/>
  <c r="N26" i="9"/>
  <c r="P26" i="9"/>
  <c r="P11" i="9"/>
  <c r="N11" i="9"/>
  <c r="P13" i="9"/>
  <c r="N13" i="9"/>
  <c r="N17" i="9"/>
  <c r="P17" i="9"/>
  <c r="P19" i="9"/>
  <c r="N19" i="9"/>
  <c r="P21" i="9"/>
  <c r="N21" i="9"/>
  <c r="P23" i="9"/>
  <c r="N23" i="9"/>
  <c r="P27" i="9"/>
  <c r="N27" i="9"/>
  <c r="P29" i="9"/>
  <c r="N29" i="9"/>
  <c r="N20" i="9"/>
  <c r="G30" i="6"/>
  <c r="J30" i="6" s="1"/>
  <c r="H30" i="6" s="1"/>
  <c r="I20" i="6"/>
  <c r="K40" i="6"/>
  <c r="K31" i="6"/>
  <c r="K41" i="6"/>
  <c r="I41" i="6"/>
  <c r="K43" i="6"/>
  <c r="I43" i="6"/>
  <c r="K30" i="6"/>
  <c r="I30" i="6"/>
  <c r="K29" i="6"/>
  <c r="I29" i="6"/>
  <c r="I31" i="6"/>
  <c r="K28" i="6"/>
  <c r="I28" i="6"/>
  <c r="N28" i="9" l="1"/>
  <c r="F27" i="6"/>
  <c r="F38" i="6"/>
  <c r="O10" i="9"/>
  <c r="K42" i="6"/>
  <c r="G24" i="6"/>
  <c r="J24" i="6" s="1"/>
  <c r="H24" i="6" s="1"/>
  <c r="F36" i="6"/>
  <c r="G36" i="6" s="1"/>
  <c r="J36" i="6" s="1"/>
  <c r="H36" i="6" s="1"/>
  <c r="G27" i="6"/>
  <c r="J27" i="6" s="1"/>
  <c r="H27" i="6" s="1"/>
  <c r="F39" i="6"/>
  <c r="G26" i="6"/>
  <c r="J26" i="6" s="1"/>
  <c r="G38" i="6"/>
  <c r="J38" i="6" s="1"/>
  <c r="I42" i="6"/>
  <c r="P28" i="9"/>
  <c r="G33" i="6"/>
  <c r="J33" i="6" s="1"/>
  <c r="H33" i="6" s="1"/>
  <c r="F45" i="6"/>
  <c r="G45" i="6" s="1"/>
  <c r="J45" i="6" s="1"/>
  <c r="H45" i="6" s="1"/>
  <c r="I40" i="6"/>
  <c r="G39" i="6"/>
  <c r="J39" i="6" s="1"/>
  <c r="H39" i="6" s="1"/>
  <c r="M10" i="9" l="1"/>
  <c r="P10" i="9"/>
  <c r="N10" i="9"/>
  <c r="H38" i="6"/>
  <c r="I38" i="6"/>
  <c r="K38" i="6"/>
  <c r="H26" i="6"/>
  <c r="K26" i="6"/>
  <c r="I26" i="6"/>
  <c r="K27" i="6"/>
  <c r="I27" i="6"/>
  <c r="K39" i="6"/>
  <c r="I39" i="6"/>
  <c r="G10" i="6" l="1"/>
  <c r="J10" i="6" s="1"/>
  <c r="H10" i="6" s="1"/>
  <c r="H9" i="6"/>
  <c r="F37" i="9" l="1"/>
  <c r="G37" i="9" s="1"/>
  <c r="J37" i="9" s="1"/>
  <c r="O37" i="9" s="1"/>
  <c r="F38" i="9"/>
  <c r="G38" i="9" s="1"/>
  <c r="J38" i="9" s="1"/>
  <c r="O38" i="9" s="1"/>
  <c r="F39" i="9"/>
  <c r="G39" i="9" s="1"/>
  <c r="J39" i="9" s="1"/>
  <c r="O39" i="9" s="1"/>
  <c r="F40" i="9"/>
  <c r="G40" i="9" s="1"/>
  <c r="J40" i="9" s="1"/>
  <c r="O40" i="9" s="1"/>
  <c r="F42" i="9"/>
  <c r="G42" i="9" s="1"/>
  <c r="J42" i="9" s="1"/>
  <c r="O42" i="9" s="1"/>
  <c r="F43" i="9"/>
  <c r="G43" i="9" s="1"/>
  <c r="J43" i="9" s="1"/>
  <c r="O43" i="9" s="1"/>
  <c r="F44" i="9"/>
  <c r="G44" i="9" s="1"/>
  <c r="J44" i="9" s="1"/>
  <c r="O44" i="9" s="1"/>
  <c r="F45" i="9"/>
  <c r="G45" i="9" s="1"/>
  <c r="J45" i="9" s="1"/>
  <c r="O45" i="9" s="1"/>
  <c r="G53" i="9" l="1"/>
  <c r="J53" i="9" s="1"/>
  <c r="H53" i="9" s="1"/>
  <c r="K12" i="32"/>
  <c r="G12" i="6" l="1"/>
  <c r="J12" i="6" s="1"/>
  <c r="H12" i="6" s="1"/>
  <c r="G11" i="6"/>
  <c r="J11" i="6" s="1"/>
  <c r="H11" i="6" s="1"/>
  <c r="I9" i="6"/>
  <c r="K9" i="6"/>
  <c r="G30" i="32" l="1"/>
  <c r="I32" i="32" s="1"/>
  <c r="A45" i="5"/>
  <c r="H18" i="30"/>
  <c r="K18" i="30"/>
  <c r="L18" i="30"/>
  <c r="O18" i="30" s="1"/>
  <c r="L10" i="30"/>
  <c r="L11" i="30"/>
  <c r="L12" i="30"/>
  <c r="L13" i="30"/>
  <c r="L14" i="30"/>
  <c r="L9" i="30"/>
  <c r="K30" i="32"/>
  <c r="K21" i="32"/>
  <c r="J30" i="32"/>
  <c r="H30" i="32"/>
  <c r="J21" i="32"/>
  <c r="H21" i="32"/>
  <c r="G21" i="32"/>
  <c r="F30" i="26"/>
  <c r="F31" i="26"/>
  <c r="F29" i="26"/>
  <c r="F28" i="26"/>
  <c r="F24" i="26"/>
  <c r="F25" i="26"/>
  <c r="F23" i="26"/>
  <c r="F22" i="26"/>
  <c r="F18" i="26"/>
  <c r="F19" i="26"/>
  <c r="F17" i="26"/>
  <c r="F16" i="26"/>
  <c r="F12" i="26"/>
  <c r="F13" i="26"/>
  <c r="F11" i="26"/>
  <c r="F10" i="26"/>
  <c r="F19" i="29"/>
  <c r="F18" i="29"/>
  <c r="F17" i="29"/>
  <c r="F16" i="29"/>
  <c r="F13" i="29"/>
  <c r="F12" i="29"/>
  <c r="F11" i="29"/>
  <c r="F10" i="29"/>
  <c r="F62" i="25"/>
  <c r="F63" i="25"/>
  <c r="F61" i="25"/>
  <c r="F60" i="25"/>
  <c r="F56" i="25"/>
  <c r="F57" i="25"/>
  <c r="F55" i="25"/>
  <c r="F54" i="25"/>
  <c r="F50" i="25"/>
  <c r="F51" i="25"/>
  <c r="F49" i="25"/>
  <c r="F48" i="25"/>
  <c r="F42" i="25"/>
  <c r="F43" i="25"/>
  <c r="F41" i="25"/>
  <c r="F40" i="25"/>
  <c r="F31" i="25"/>
  <c r="F30" i="25"/>
  <c r="F29" i="25"/>
  <c r="F28" i="25"/>
  <c r="F25" i="25"/>
  <c r="F24" i="25"/>
  <c r="F23" i="25"/>
  <c r="F22" i="25"/>
  <c r="F19" i="25"/>
  <c r="F17" i="25"/>
  <c r="F16" i="25"/>
  <c r="F18" i="25"/>
  <c r="F12" i="25"/>
  <c r="F13" i="25"/>
  <c r="F11" i="25"/>
  <c r="F10" i="25"/>
  <c r="F13" i="22"/>
  <c r="F12" i="22"/>
  <c r="F11" i="22"/>
  <c r="F10" i="22"/>
  <c r="F19" i="20"/>
  <c r="F24" i="20" s="1"/>
  <c r="F32" i="20" s="1"/>
  <c r="F18" i="20"/>
  <c r="F17" i="20"/>
  <c r="F16" i="20"/>
  <c r="F15" i="20"/>
  <c r="F13" i="20"/>
  <c r="F12" i="20"/>
  <c r="F11" i="20"/>
  <c r="F10" i="20"/>
  <c r="F29" i="19"/>
  <c r="F24" i="19"/>
  <c r="F31" i="19" s="1"/>
  <c r="F23" i="19"/>
  <c r="F22" i="19"/>
  <c r="F21" i="19"/>
  <c r="F20" i="19"/>
  <c r="F18" i="19"/>
  <c r="F17" i="19"/>
  <c r="F16" i="19"/>
  <c r="F15" i="19"/>
  <c r="F13" i="19"/>
  <c r="F12" i="19"/>
  <c r="F11" i="19"/>
  <c r="F10" i="19"/>
  <c r="F28" i="11"/>
  <c r="F23" i="11"/>
  <c r="F18" i="11"/>
  <c r="F13" i="11"/>
  <c r="F12" i="11"/>
  <c r="F11" i="11"/>
  <c r="F10" i="11"/>
  <c r="F25" i="10"/>
  <c r="F29" i="10" s="1"/>
  <c r="G29" i="10" s="1"/>
  <c r="J29" i="10" s="1"/>
  <c r="F20" i="10"/>
  <c r="F15" i="10"/>
  <c r="F14" i="10"/>
  <c r="G14" i="10" s="1"/>
  <c r="J14" i="10" s="1"/>
  <c r="F13" i="10"/>
  <c r="G13" i="10" s="1"/>
  <c r="J13" i="10" s="1"/>
  <c r="F12" i="10"/>
  <c r="G12" i="10" s="1"/>
  <c r="J12" i="10" s="1"/>
  <c r="F11" i="10"/>
  <c r="G11" i="10" s="1"/>
  <c r="J11" i="10" s="1"/>
  <c r="N18" i="30" l="1"/>
  <c r="M18" i="30"/>
  <c r="M14" i="30"/>
  <c r="M11" i="30"/>
  <c r="M9" i="30"/>
  <c r="I33" i="32"/>
  <c r="O9" i="30"/>
  <c r="N9" i="30"/>
  <c r="M12" i="30"/>
  <c r="O14" i="30"/>
  <c r="N14" i="30"/>
  <c r="N11" i="30"/>
  <c r="O11" i="30"/>
  <c r="O13" i="30"/>
  <c r="N13" i="30"/>
  <c r="N10" i="30"/>
  <c r="O10" i="30"/>
  <c r="M13" i="30"/>
  <c r="M10" i="30"/>
  <c r="N12" i="30"/>
  <c r="O12" i="30"/>
  <c r="F18" i="10"/>
  <c r="G18" i="10" s="1"/>
  <c r="J18" i="10" s="1"/>
  <c r="G15" i="10"/>
  <c r="J15" i="10" s="1"/>
  <c r="F19" i="10"/>
  <c r="G19" i="10" s="1"/>
  <c r="J19" i="10" s="1"/>
  <c r="F24" i="10"/>
  <c r="G24" i="10" s="1"/>
  <c r="J24" i="10" s="1"/>
  <c r="G20" i="10"/>
  <c r="J20" i="10" s="1"/>
  <c r="F28" i="10"/>
  <c r="G28" i="10" s="1"/>
  <c r="J28" i="10" s="1"/>
  <c r="G25" i="10"/>
  <c r="J25" i="10" s="1"/>
  <c r="F17" i="10"/>
  <c r="G17" i="10" s="1"/>
  <c r="J17" i="10" s="1"/>
  <c r="F27" i="10"/>
  <c r="G27" i="10" s="1"/>
  <c r="J27" i="10" s="1"/>
  <c r="K24" i="32"/>
  <c r="K23" i="32"/>
  <c r="F28" i="19"/>
  <c r="J32" i="32"/>
  <c r="H32" i="32"/>
  <c r="K33" i="32"/>
  <c r="K32" i="32"/>
  <c r="J33" i="32"/>
  <c r="H33" i="32"/>
  <c r="I24" i="32"/>
  <c r="H24" i="32"/>
  <c r="J24" i="32"/>
  <c r="I23" i="32"/>
  <c r="H23" i="32"/>
  <c r="J23" i="32"/>
  <c r="F16" i="10"/>
  <c r="G16" i="10" s="1"/>
  <c r="J16" i="10" s="1"/>
  <c r="F26" i="10"/>
  <c r="G26" i="10" s="1"/>
  <c r="J26" i="10" s="1"/>
  <c r="F33" i="19"/>
  <c r="F23" i="20"/>
  <c r="F21" i="10"/>
  <c r="G21" i="10" s="1"/>
  <c r="J21" i="10" s="1"/>
  <c r="F21" i="20"/>
  <c r="F29" i="20"/>
  <c r="F15" i="22"/>
  <c r="F23" i="10"/>
  <c r="G23" i="10" s="1"/>
  <c r="J23" i="10" s="1"/>
  <c r="F33" i="20"/>
  <c r="F17" i="22"/>
  <c r="F18" i="22"/>
  <c r="F16" i="22"/>
  <c r="F20" i="22"/>
  <c r="F21" i="22"/>
  <c r="F22" i="22"/>
  <c r="F23" i="22"/>
  <c r="F20" i="20"/>
  <c r="F22" i="20"/>
  <c r="F25" i="20"/>
  <c r="F26" i="20"/>
  <c r="F27" i="20"/>
  <c r="F28" i="20"/>
  <c r="F30" i="20"/>
  <c r="F31" i="20"/>
  <c r="F25" i="19"/>
  <c r="F27" i="19"/>
  <c r="F30" i="19"/>
  <c r="F32" i="19"/>
  <c r="F26" i="19"/>
  <c r="F15" i="11"/>
  <c r="F16" i="11"/>
  <c r="F17" i="11"/>
  <c r="F20" i="11"/>
  <c r="F21" i="11"/>
  <c r="F22" i="11"/>
  <c r="F25" i="11"/>
  <c r="F26" i="11"/>
  <c r="F27" i="11"/>
  <c r="F22" i="10"/>
  <c r="G22" i="10" s="1"/>
  <c r="J22" i="10" s="1"/>
  <c r="M15" i="30" l="1"/>
  <c r="O15" i="30"/>
  <c r="N15" i="30"/>
  <c r="F28" i="22"/>
  <c r="F27" i="22"/>
  <c r="F26" i="22"/>
  <c r="F25" i="22"/>
  <c r="F24" i="8" l="1"/>
  <c r="F28" i="8" s="1"/>
  <c r="F19" i="8"/>
  <c r="F23" i="8" s="1"/>
  <c r="F14" i="8"/>
  <c r="F18" i="8" s="1"/>
  <c r="F13" i="8"/>
  <c r="F12" i="8"/>
  <c r="F11" i="8"/>
  <c r="F10" i="8"/>
  <c r="F29" i="7"/>
  <c r="F33" i="7" s="1"/>
  <c r="F24" i="7"/>
  <c r="F27" i="7" s="1"/>
  <c r="F19" i="7"/>
  <c r="F22" i="7" s="1"/>
  <c r="F14" i="7"/>
  <c r="F18" i="7" s="1"/>
  <c r="F13" i="7"/>
  <c r="F12" i="7"/>
  <c r="F11" i="7"/>
  <c r="F10" i="7"/>
  <c r="F21" i="7" l="1"/>
  <c r="F23" i="7"/>
  <c r="F26" i="7"/>
  <c r="F31" i="7"/>
  <c r="F15" i="7"/>
  <c r="F25" i="7"/>
  <c r="F28" i="7"/>
  <c r="F30" i="7"/>
  <c r="F32" i="7"/>
  <c r="F15" i="8"/>
  <c r="F16" i="8"/>
  <c r="F17" i="8"/>
  <c r="F20" i="8"/>
  <c r="F21" i="8"/>
  <c r="F22" i="8"/>
  <c r="F25" i="8"/>
  <c r="F26" i="8"/>
  <c r="F27" i="8"/>
  <c r="F17" i="7"/>
  <c r="F20" i="7"/>
  <c r="F16" i="7"/>
  <c r="A18" i="5"/>
  <c r="A4" i="5"/>
  <c r="H15" i="30" l="1"/>
  <c r="N16" i="30" s="1"/>
  <c r="L15" i="30"/>
  <c r="J15" i="30"/>
  <c r="O16" i="30" s="1"/>
  <c r="G15" i="30"/>
  <c r="M16" i="30" s="1"/>
  <c r="F52" i="11"/>
  <c r="F46" i="11"/>
  <c r="F40" i="11"/>
  <c r="J12" i="32"/>
  <c r="H12" i="32"/>
  <c r="K14" i="32"/>
  <c r="H34" i="11" l="1"/>
  <c r="I14" i="32"/>
  <c r="J14" i="32"/>
  <c r="H14" i="32"/>
  <c r="J15" i="32"/>
  <c r="H15" i="32"/>
  <c r="K15" i="32"/>
  <c r="I34" i="11" l="1"/>
  <c r="G34" i="11"/>
  <c r="H52" i="11"/>
  <c r="H40" i="9"/>
  <c r="H44" i="9"/>
  <c r="H38" i="9"/>
  <c r="H43" i="9"/>
  <c r="H45" i="9"/>
  <c r="H41" i="9"/>
  <c r="H42" i="9"/>
  <c r="H54" i="11"/>
  <c r="H48" i="11"/>
  <c r="H42" i="11"/>
  <c r="H37" i="9"/>
  <c r="H39" i="9"/>
  <c r="H50" i="11"/>
  <c r="H44" i="11"/>
  <c r="H38" i="11"/>
  <c r="H32" i="11"/>
  <c r="H36" i="11"/>
  <c r="H40" i="11"/>
  <c r="H46" i="11"/>
  <c r="H29" i="26"/>
  <c r="H17" i="26"/>
  <c r="H32" i="26"/>
  <c r="H27" i="26"/>
  <c r="H26" i="26"/>
  <c r="H25" i="26"/>
  <c r="H21" i="26"/>
  <c r="H20" i="26"/>
  <c r="H19" i="26"/>
  <c r="H15" i="26"/>
  <c r="H14" i="26"/>
  <c r="H13" i="26"/>
  <c r="H30" i="26"/>
  <c r="H16" i="26"/>
  <c r="H9" i="26"/>
  <c r="H20" i="29"/>
  <c r="H15" i="29"/>
  <c r="H9" i="29"/>
  <c r="H44" i="25"/>
  <c r="H39" i="25"/>
  <c r="H64" i="25"/>
  <c r="H9" i="25"/>
  <c r="H9" i="22"/>
  <c r="H59" i="25"/>
  <c r="H57" i="25"/>
  <c r="H55" i="25"/>
  <c r="H53" i="25"/>
  <c r="H51" i="25"/>
  <c r="H49" i="25"/>
  <c r="H47" i="25"/>
  <c r="H37" i="25"/>
  <c r="H35" i="25"/>
  <c r="H33" i="25"/>
  <c r="H31" i="25"/>
  <c r="H29" i="25"/>
  <c r="H27" i="25"/>
  <c r="H25" i="25"/>
  <c r="H23" i="25"/>
  <c r="H21" i="25"/>
  <c r="H19" i="25"/>
  <c r="H17" i="25"/>
  <c r="H15" i="25"/>
  <c r="H13" i="25"/>
  <c r="H11" i="25"/>
  <c r="H14" i="20"/>
  <c r="H19" i="19"/>
  <c r="H12" i="19"/>
  <c r="H9" i="19"/>
  <c r="H29" i="19"/>
  <c r="H14" i="29"/>
  <c r="H58" i="25"/>
  <c r="H54" i="25"/>
  <c r="H52" i="25"/>
  <c r="H48" i="25"/>
  <c r="H38" i="25"/>
  <c r="H36" i="25"/>
  <c r="H34" i="25"/>
  <c r="H32" i="25"/>
  <c r="H30" i="25"/>
  <c r="H28" i="25"/>
  <c r="H26" i="25"/>
  <c r="H24" i="25"/>
  <c r="H22" i="25"/>
  <c r="H20" i="25"/>
  <c r="H18" i="25"/>
  <c r="H14" i="25"/>
  <c r="H10" i="25"/>
  <c r="H19" i="20"/>
  <c r="H9" i="20"/>
  <c r="H14" i="19"/>
  <c r="H9" i="11"/>
  <c r="H10" i="19"/>
  <c r="H23" i="19"/>
  <c r="H16" i="25"/>
  <c r="H56" i="25"/>
  <c r="H18" i="11"/>
  <c r="H13" i="11"/>
  <c r="H15" i="19"/>
  <c r="H20" i="19"/>
  <c r="H28" i="19"/>
  <c r="H31" i="19"/>
  <c r="H13" i="20"/>
  <c r="H17" i="20"/>
  <c r="H32" i="20"/>
  <c r="H11" i="22"/>
  <c r="H42" i="25"/>
  <c r="H62" i="25"/>
  <c r="H21" i="19"/>
  <c r="H12" i="25"/>
  <c r="H50" i="25"/>
  <c r="H10" i="11"/>
  <c r="H13" i="19"/>
  <c r="H11" i="11"/>
  <c r="H23" i="11"/>
  <c r="H17" i="19"/>
  <c r="H22" i="19"/>
  <c r="H33" i="19"/>
  <c r="H11" i="20"/>
  <c r="H15" i="20"/>
  <c r="H23" i="20"/>
  <c r="H13" i="22"/>
  <c r="H41" i="25"/>
  <c r="H61" i="25"/>
  <c r="H10" i="29"/>
  <c r="H18" i="26"/>
  <c r="H28" i="11"/>
  <c r="H16" i="19"/>
  <c r="H10" i="20"/>
  <c r="H16" i="20"/>
  <c r="H21" i="20"/>
  <c r="H15" i="22"/>
  <c r="H40" i="25"/>
  <c r="H60" i="25"/>
  <c r="H16" i="29"/>
  <c r="H31" i="26"/>
  <c r="H12" i="22"/>
  <c r="H13" i="29"/>
  <c r="H19" i="29"/>
  <c r="H12" i="26"/>
  <c r="H18" i="29"/>
  <c r="H23" i="26"/>
  <c r="H19" i="22"/>
  <c r="H24" i="20"/>
  <c r="H24" i="19"/>
  <c r="H14" i="11"/>
  <c r="H19" i="11"/>
  <c r="H24" i="11"/>
  <c r="H12" i="29"/>
  <c r="H12" i="11"/>
  <c r="H18" i="19"/>
  <c r="H18" i="20"/>
  <c r="H14" i="22"/>
  <c r="H63" i="25"/>
  <c r="H10" i="22"/>
  <c r="H17" i="29"/>
  <c r="H22" i="26"/>
  <c r="H24" i="26"/>
  <c r="H11" i="19"/>
  <c r="H12" i="20"/>
  <c r="H29" i="20"/>
  <c r="H43" i="25"/>
  <c r="H28" i="26"/>
  <c r="H11" i="29"/>
  <c r="H11" i="26"/>
  <c r="H10" i="26"/>
  <c r="H27" i="11"/>
  <c r="H17" i="11"/>
  <c r="H26" i="19"/>
  <c r="H27" i="19"/>
  <c r="H22" i="22"/>
  <c r="H20" i="11"/>
  <c r="H27" i="20"/>
  <c r="H20" i="20"/>
  <c r="H21" i="11"/>
  <c r="H30" i="19"/>
  <c r="H28" i="20"/>
  <c r="H22" i="20"/>
  <c r="H21" i="22"/>
  <c r="H33" i="20"/>
  <c r="H25" i="11"/>
  <c r="H15" i="11"/>
  <c r="H32" i="19"/>
  <c r="H25" i="19"/>
  <c r="H20" i="22"/>
  <c r="H22" i="11"/>
  <c r="H30" i="20"/>
  <c r="H25" i="20"/>
  <c r="H18" i="22"/>
  <c r="H26" i="11"/>
  <c r="H16" i="11"/>
  <c r="H31" i="20"/>
  <c r="H26" i="20"/>
  <c r="H23" i="22"/>
  <c r="H16" i="22"/>
  <c r="H17" i="22"/>
  <c r="H24" i="22"/>
  <c r="H28" i="22"/>
  <c r="H27" i="22"/>
  <c r="H26" i="22"/>
  <c r="H25" i="22"/>
  <c r="H10" i="7"/>
  <c r="I12" i="6"/>
  <c r="H9" i="8"/>
  <c r="H9" i="7"/>
  <c r="H22" i="7"/>
  <c r="H12" i="7"/>
  <c r="H21" i="7"/>
  <c r="H27" i="7"/>
  <c r="H13" i="7"/>
  <c r="H33" i="7"/>
  <c r="H29" i="7"/>
  <c r="H13" i="8"/>
  <c r="H14" i="7"/>
  <c r="H12" i="8"/>
  <c r="H14" i="8"/>
  <c r="H19" i="8"/>
  <c r="H24" i="8"/>
  <c r="H18" i="7"/>
  <c r="H11" i="7"/>
  <c r="H23" i="7"/>
  <c r="H10" i="8"/>
  <c r="H19" i="7"/>
  <c r="H11" i="8"/>
  <c r="H23" i="8"/>
  <c r="H24" i="7"/>
  <c r="H18" i="8"/>
  <c r="H28" i="8"/>
  <c r="H17" i="7"/>
  <c r="H16" i="8"/>
  <c r="H27" i="8"/>
  <c r="H22" i="8"/>
  <c r="H17" i="8"/>
  <c r="H30" i="7"/>
  <c r="H26" i="7"/>
  <c r="H28" i="7"/>
  <c r="H21" i="8"/>
  <c r="H20" i="7"/>
  <c r="H25" i="8"/>
  <c r="H20" i="8"/>
  <c r="H15" i="8"/>
  <c r="H25" i="7"/>
  <c r="H16" i="7"/>
  <c r="H32" i="7"/>
  <c r="H15" i="7"/>
  <c r="H26" i="8"/>
  <c r="H31" i="7"/>
  <c r="K15" i="30"/>
  <c r="H23" i="10" l="1"/>
  <c r="O23" i="10"/>
  <c r="H11" i="10"/>
  <c r="O11" i="10"/>
  <c r="H26" i="10"/>
  <c r="O26" i="10"/>
  <c r="H16" i="10"/>
  <c r="O16" i="10"/>
  <c r="H13" i="10"/>
  <c r="O13" i="10"/>
  <c r="H18" i="10"/>
  <c r="O18" i="10"/>
  <c r="H22" i="10"/>
  <c r="O22" i="10"/>
  <c r="H27" i="10"/>
  <c r="O27" i="10"/>
  <c r="H20" i="10"/>
  <c r="O20" i="10"/>
  <c r="H12" i="10"/>
  <c r="O12" i="10"/>
  <c r="H21" i="10"/>
  <c r="O21" i="10"/>
  <c r="H28" i="10"/>
  <c r="O28" i="10"/>
  <c r="H14" i="10"/>
  <c r="O14" i="10"/>
  <c r="H29" i="10"/>
  <c r="O29" i="10"/>
  <c r="H25" i="10"/>
  <c r="O25" i="10"/>
  <c r="H15" i="10"/>
  <c r="O15" i="10"/>
  <c r="H19" i="10"/>
  <c r="O19" i="10"/>
  <c r="H24" i="10"/>
  <c r="O24" i="10"/>
  <c r="H17" i="10"/>
  <c r="O17" i="10"/>
  <c r="I46" i="11"/>
  <c r="G46" i="11"/>
  <c r="K21" i="6"/>
  <c r="I21" i="6"/>
  <c r="K33" i="6"/>
  <c r="I33" i="6"/>
  <c r="K36" i="6"/>
  <c r="I36" i="6"/>
  <c r="I36" i="11"/>
  <c r="G36" i="11"/>
  <c r="I38" i="11"/>
  <c r="G38" i="11"/>
  <c r="I50" i="11"/>
  <c r="G50" i="11"/>
  <c r="K25" i="6"/>
  <c r="I25" i="6"/>
  <c r="I22" i="6"/>
  <c r="K22" i="6"/>
  <c r="K46" i="6"/>
  <c r="I46" i="6"/>
  <c r="K37" i="9"/>
  <c r="M37" i="9" s="1"/>
  <c r="I37" i="9"/>
  <c r="I48" i="11"/>
  <c r="G48" i="11"/>
  <c r="K23" i="6"/>
  <c r="I23" i="6"/>
  <c r="K37" i="6"/>
  <c r="I37" i="6"/>
  <c r="K42" i="9"/>
  <c r="M42" i="9" s="1"/>
  <c r="I42" i="9"/>
  <c r="I45" i="9"/>
  <c r="K45" i="9"/>
  <c r="M45" i="9" s="1"/>
  <c r="I38" i="9"/>
  <c r="K38" i="9"/>
  <c r="M38" i="9" s="1"/>
  <c r="I40" i="9"/>
  <c r="K40" i="9"/>
  <c r="M40" i="9" s="1"/>
  <c r="I40" i="11"/>
  <c r="G40" i="11"/>
  <c r="K32" i="6"/>
  <c r="I32" i="6"/>
  <c r="K24" i="6"/>
  <c r="I24" i="6"/>
  <c r="K35" i="6"/>
  <c r="I35" i="6"/>
  <c r="I32" i="11"/>
  <c r="G32" i="11"/>
  <c r="I44" i="11"/>
  <c r="G44" i="11"/>
  <c r="K20" i="6"/>
  <c r="K45" i="6"/>
  <c r="I45" i="6"/>
  <c r="K34" i="6"/>
  <c r="I34" i="6"/>
  <c r="K39" i="9"/>
  <c r="M39" i="9" s="1"/>
  <c r="I39" i="9"/>
  <c r="I42" i="11"/>
  <c r="G42" i="11"/>
  <c r="I54" i="11"/>
  <c r="G54" i="11"/>
  <c r="K44" i="6"/>
  <c r="I44" i="6"/>
  <c r="K36" i="9"/>
  <c r="I36" i="9"/>
  <c r="K41" i="9"/>
  <c r="M41" i="9" s="1"/>
  <c r="I41" i="9"/>
  <c r="I43" i="9"/>
  <c r="K43" i="9"/>
  <c r="M43" i="9" s="1"/>
  <c r="I44" i="9"/>
  <c r="K44" i="9"/>
  <c r="M44" i="9" s="1"/>
  <c r="I52" i="11"/>
  <c r="G52" i="11"/>
  <c r="I26" i="8"/>
  <c r="G26" i="8"/>
  <c r="I25" i="7"/>
  <c r="G25" i="7"/>
  <c r="I20" i="7"/>
  <c r="G20" i="7"/>
  <c r="I28" i="7"/>
  <c r="G28" i="7"/>
  <c r="I22" i="8"/>
  <c r="G22" i="8"/>
  <c r="G28" i="8"/>
  <c r="I28" i="8"/>
  <c r="I24" i="7"/>
  <c r="G24" i="7"/>
  <c r="G10" i="8"/>
  <c r="I10" i="8"/>
  <c r="I24" i="8"/>
  <c r="G24" i="8"/>
  <c r="I14" i="7"/>
  <c r="G14" i="7"/>
  <c r="I29" i="7"/>
  <c r="G29" i="7"/>
  <c r="I21" i="7"/>
  <c r="G21" i="7"/>
  <c r="I12" i="7"/>
  <c r="G12" i="7"/>
  <c r="I10" i="7"/>
  <c r="G10" i="7"/>
  <c r="G26" i="22"/>
  <c r="I26" i="22"/>
  <c r="I17" i="22"/>
  <c r="G17" i="22"/>
  <c r="G31" i="20"/>
  <c r="I31" i="20"/>
  <c r="G25" i="20"/>
  <c r="I25" i="20"/>
  <c r="I20" i="22"/>
  <c r="G20" i="22"/>
  <c r="G25" i="11"/>
  <c r="I25" i="11"/>
  <c r="K17" i="9"/>
  <c r="I17" i="9"/>
  <c r="I22" i="20"/>
  <c r="G22" i="20"/>
  <c r="I22" i="10"/>
  <c r="K22" i="10"/>
  <c r="K28" i="9"/>
  <c r="I28" i="9"/>
  <c r="I26" i="19"/>
  <c r="G26" i="19"/>
  <c r="K27" i="9"/>
  <c r="I27" i="9"/>
  <c r="I28" i="26"/>
  <c r="G28" i="26"/>
  <c r="I11" i="19"/>
  <c r="G11" i="19"/>
  <c r="G22" i="26"/>
  <c r="I22" i="26"/>
  <c r="I14" i="22"/>
  <c r="G14" i="22"/>
  <c r="K16" i="9"/>
  <c r="I16" i="9"/>
  <c r="G14" i="11"/>
  <c r="I14" i="11"/>
  <c r="G23" i="26"/>
  <c r="I23" i="26"/>
  <c r="G12" i="26"/>
  <c r="I12" i="26"/>
  <c r="I31" i="26"/>
  <c r="G31" i="26"/>
  <c r="I15" i="22"/>
  <c r="G15" i="22"/>
  <c r="I16" i="19"/>
  <c r="G16" i="19"/>
  <c r="K12" i="9"/>
  <c r="I12" i="9"/>
  <c r="G10" i="29"/>
  <c r="I10" i="29"/>
  <c r="I23" i="20"/>
  <c r="G23" i="20"/>
  <c r="I22" i="19"/>
  <c r="G22" i="19"/>
  <c r="K16" i="10"/>
  <c r="I16" i="10"/>
  <c r="K23" i="9"/>
  <c r="I23" i="9"/>
  <c r="K21" i="10"/>
  <c r="I21" i="10"/>
  <c r="I12" i="25"/>
  <c r="G12" i="25"/>
  <c r="I42" i="25"/>
  <c r="G42" i="25"/>
  <c r="I32" i="20"/>
  <c r="G32" i="20"/>
  <c r="I28" i="19"/>
  <c r="G28" i="19"/>
  <c r="I14" i="10"/>
  <c r="K14" i="10"/>
  <c r="K19" i="9"/>
  <c r="I19" i="9"/>
  <c r="K17" i="10"/>
  <c r="I17" i="10"/>
  <c r="I23" i="19"/>
  <c r="G23" i="19"/>
  <c r="K25" i="9"/>
  <c r="I25" i="9"/>
  <c r="K53" i="9"/>
  <c r="I53" i="9"/>
  <c r="K15" i="9"/>
  <c r="I15" i="9"/>
  <c r="I26" i="25"/>
  <c r="G26" i="25"/>
  <c r="I31" i="7"/>
  <c r="G31" i="7"/>
  <c r="I15" i="7"/>
  <c r="G15" i="7"/>
  <c r="I16" i="7"/>
  <c r="G16" i="7"/>
  <c r="G15" i="8"/>
  <c r="I15" i="8"/>
  <c r="I25" i="8"/>
  <c r="G25" i="8"/>
  <c r="G21" i="8"/>
  <c r="I21" i="8"/>
  <c r="I26" i="7"/>
  <c r="G26" i="7"/>
  <c r="I17" i="8"/>
  <c r="G17" i="8"/>
  <c r="G27" i="8"/>
  <c r="I27" i="8"/>
  <c r="I17" i="7"/>
  <c r="G17" i="7"/>
  <c r="G18" i="8"/>
  <c r="I18" i="8"/>
  <c r="G23" i="8"/>
  <c r="I23" i="8"/>
  <c r="I19" i="7"/>
  <c r="G19" i="7"/>
  <c r="I23" i="7"/>
  <c r="G23" i="7"/>
  <c r="I18" i="7"/>
  <c r="G18" i="7"/>
  <c r="I19" i="8"/>
  <c r="G19" i="8"/>
  <c r="I12" i="8"/>
  <c r="G12" i="8"/>
  <c r="I13" i="8"/>
  <c r="G13" i="8"/>
  <c r="I33" i="7"/>
  <c r="G33" i="7"/>
  <c r="I27" i="7"/>
  <c r="G27" i="7"/>
  <c r="K10" i="6"/>
  <c r="I10" i="6"/>
  <c r="I22" i="7"/>
  <c r="G22" i="7"/>
  <c r="K11" i="6"/>
  <c r="I11" i="6"/>
  <c r="I9" i="7"/>
  <c r="G9" i="7"/>
  <c r="K12" i="6"/>
  <c r="G25" i="22"/>
  <c r="I25" i="22"/>
  <c r="G27" i="22"/>
  <c r="I27" i="22"/>
  <c r="G24" i="22"/>
  <c r="I24" i="22"/>
  <c r="I16" i="22"/>
  <c r="G16" i="22"/>
  <c r="G26" i="20"/>
  <c r="I26" i="20"/>
  <c r="G16" i="11"/>
  <c r="I16" i="11"/>
  <c r="I18" i="22"/>
  <c r="G18" i="22"/>
  <c r="G30" i="20"/>
  <c r="I30" i="20"/>
  <c r="I24" i="9"/>
  <c r="K24" i="9"/>
  <c r="G25" i="19"/>
  <c r="I25" i="19"/>
  <c r="G15" i="11"/>
  <c r="I15" i="11"/>
  <c r="K18" i="9"/>
  <c r="I18" i="9"/>
  <c r="K23" i="10"/>
  <c r="I23" i="10"/>
  <c r="I21" i="22"/>
  <c r="G21" i="22"/>
  <c r="G28" i="20"/>
  <c r="I28" i="20"/>
  <c r="G21" i="11"/>
  <c r="I21" i="11"/>
  <c r="I20" i="20"/>
  <c r="G20" i="20"/>
  <c r="G20" i="11"/>
  <c r="I20" i="11"/>
  <c r="K21" i="9"/>
  <c r="I21" i="9"/>
  <c r="G27" i="19"/>
  <c r="I27" i="19"/>
  <c r="G17" i="11"/>
  <c r="I17" i="11"/>
  <c r="K22" i="9"/>
  <c r="I22" i="9"/>
  <c r="G10" i="26"/>
  <c r="I10" i="26"/>
  <c r="G11" i="29"/>
  <c r="I11" i="29"/>
  <c r="I43" i="25"/>
  <c r="G43" i="25"/>
  <c r="I12" i="20"/>
  <c r="G12" i="20"/>
  <c r="K19" i="10"/>
  <c r="I19" i="10"/>
  <c r="K20" i="9"/>
  <c r="I20" i="9"/>
  <c r="G17" i="29"/>
  <c r="I17" i="29"/>
  <c r="I63" i="25"/>
  <c r="G63" i="25"/>
  <c r="I18" i="20"/>
  <c r="G18" i="20"/>
  <c r="I12" i="11"/>
  <c r="G12" i="11"/>
  <c r="G12" i="29"/>
  <c r="I12" i="29"/>
  <c r="G19" i="11"/>
  <c r="I19" i="11"/>
  <c r="I24" i="19"/>
  <c r="G24" i="19"/>
  <c r="I19" i="22"/>
  <c r="G19" i="22"/>
  <c r="G18" i="29"/>
  <c r="I18" i="29"/>
  <c r="G19" i="29"/>
  <c r="I19" i="29"/>
  <c r="I12" i="22"/>
  <c r="G12" i="22"/>
  <c r="G16" i="29"/>
  <c r="I16" i="29"/>
  <c r="I40" i="25"/>
  <c r="G40" i="25"/>
  <c r="I21" i="20"/>
  <c r="G21" i="20"/>
  <c r="I10" i="20"/>
  <c r="G10" i="20"/>
  <c r="I28" i="11"/>
  <c r="G28" i="11"/>
  <c r="I11" i="10"/>
  <c r="K11" i="10"/>
  <c r="I18" i="26"/>
  <c r="G18" i="26"/>
  <c r="I61" i="25"/>
  <c r="G61" i="25"/>
  <c r="I13" i="22"/>
  <c r="G13" i="22"/>
  <c r="I15" i="20"/>
  <c r="G15" i="20"/>
  <c r="I33" i="19"/>
  <c r="G33" i="19"/>
  <c r="I17" i="19"/>
  <c r="G17" i="19"/>
  <c r="I11" i="11"/>
  <c r="G11" i="11"/>
  <c r="K20" i="10"/>
  <c r="I20" i="10"/>
  <c r="K12" i="10"/>
  <c r="I12" i="10"/>
  <c r="I13" i="19"/>
  <c r="G13" i="19"/>
  <c r="I24" i="10"/>
  <c r="K24" i="10"/>
  <c r="I13" i="10"/>
  <c r="K13" i="10"/>
  <c r="I50" i="25"/>
  <c r="G50" i="25"/>
  <c r="I21" i="19"/>
  <c r="G21" i="19"/>
  <c r="I62" i="25"/>
  <c r="G62" i="25"/>
  <c r="I11" i="22"/>
  <c r="G11" i="22"/>
  <c r="I17" i="20"/>
  <c r="G17" i="20"/>
  <c r="I31" i="19"/>
  <c r="G31" i="19"/>
  <c r="I20" i="19"/>
  <c r="G20" i="19"/>
  <c r="I13" i="11"/>
  <c r="G13" i="11"/>
  <c r="K18" i="10"/>
  <c r="I18" i="10"/>
  <c r="K26" i="9"/>
  <c r="I26" i="9"/>
  <c r="I18" i="11"/>
  <c r="G18" i="11"/>
  <c r="K29" i="10"/>
  <c r="I29" i="10"/>
  <c r="K29" i="9"/>
  <c r="I29" i="9"/>
  <c r="I16" i="25"/>
  <c r="G16" i="25"/>
  <c r="I10" i="19"/>
  <c r="G10" i="19"/>
  <c r="K13" i="9"/>
  <c r="I13" i="9"/>
  <c r="K51" i="9"/>
  <c r="I51" i="9"/>
  <c r="K25" i="10"/>
  <c r="I25" i="10"/>
  <c r="K11" i="9"/>
  <c r="I11" i="9"/>
  <c r="K10" i="10"/>
  <c r="I10" i="10"/>
  <c r="I14" i="19"/>
  <c r="G14" i="19"/>
  <c r="I19" i="20"/>
  <c r="G19" i="20"/>
  <c r="I14" i="25"/>
  <c r="G14" i="25"/>
  <c r="I20" i="25"/>
  <c r="G20" i="25"/>
  <c r="I24" i="25"/>
  <c r="G24" i="25"/>
  <c r="I28" i="25"/>
  <c r="G28" i="25"/>
  <c r="I32" i="25"/>
  <c r="G32" i="25"/>
  <c r="I36" i="25"/>
  <c r="G36" i="25"/>
  <c r="I48" i="25"/>
  <c r="G48" i="25"/>
  <c r="I54" i="25"/>
  <c r="G54" i="25"/>
  <c r="I14" i="29"/>
  <c r="G14" i="29"/>
  <c r="K52" i="9"/>
  <c r="I52" i="9"/>
  <c r="I9" i="19"/>
  <c r="G9" i="19"/>
  <c r="I19" i="19"/>
  <c r="G19" i="19"/>
  <c r="I11" i="25"/>
  <c r="G11" i="25"/>
  <c r="I15" i="25"/>
  <c r="G15" i="25"/>
  <c r="I19" i="25"/>
  <c r="G19" i="25"/>
  <c r="I23" i="25"/>
  <c r="G23" i="25"/>
  <c r="I27" i="25"/>
  <c r="G27" i="25"/>
  <c r="I31" i="25"/>
  <c r="G31" i="25"/>
  <c r="I35" i="25"/>
  <c r="G35" i="25"/>
  <c r="I47" i="25"/>
  <c r="G47" i="25"/>
  <c r="I51" i="25"/>
  <c r="G51" i="25"/>
  <c r="I55" i="25"/>
  <c r="G55" i="25"/>
  <c r="G59" i="25"/>
  <c r="I59" i="25"/>
  <c r="G9" i="25"/>
  <c r="I9" i="25"/>
  <c r="I39" i="25"/>
  <c r="G39" i="25"/>
  <c r="I9" i="29"/>
  <c r="G9" i="29"/>
  <c r="I20" i="29"/>
  <c r="G20" i="29"/>
  <c r="I16" i="26"/>
  <c r="G16" i="26"/>
  <c r="G13" i="26"/>
  <c r="I13" i="26"/>
  <c r="I15" i="26"/>
  <c r="G15" i="26"/>
  <c r="I20" i="26"/>
  <c r="G20" i="26"/>
  <c r="G25" i="26"/>
  <c r="I25" i="26"/>
  <c r="I27" i="26"/>
  <c r="G27" i="26"/>
  <c r="I17" i="26"/>
  <c r="G17" i="26"/>
  <c r="I32" i="7"/>
  <c r="G32" i="7"/>
  <c r="G20" i="8"/>
  <c r="I20" i="8"/>
  <c r="I30" i="7"/>
  <c r="G30" i="7"/>
  <c r="I16" i="8"/>
  <c r="G16" i="8"/>
  <c r="I11" i="8"/>
  <c r="G11" i="8"/>
  <c r="I11" i="7"/>
  <c r="G11" i="7"/>
  <c r="G14" i="8"/>
  <c r="I14" i="8"/>
  <c r="I13" i="7"/>
  <c r="G13" i="7"/>
  <c r="I9" i="8"/>
  <c r="G9" i="8"/>
  <c r="G28" i="22"/>
  <c r="I28" i="22"/>
  <c r="I23" i="22"/>
  <c r="G23" i="22"/>
  <c r="G26" i="11"/>
  <c r="I26" i="11"/>
  <c r="G22" i="11"/>
  <c r="I22" i="11"/>
  <c r="I32" i="19"/>
  <c r="G32" i="19"/>
  <c r="G33" i="20"/>
  <c r="I33" i="20"/>
  <c r="I30" i="19"/>
  <c r="G30" i="19"/>
  <c r="G27" i="20"/>
  <c r="I27" i="20"/>
  <c r="I22" i="22"/>
  <c r="G22" i="22"/>
  <c r="G27" i="11"/>
  <c r="I27" i="11"/>
  <c r="G11" i="26"/>
  <c r="I11" i="26"/>
  <c r="I29" i="20"/>
  <c r="G29" i="20"/>
  <c r="G24" i="26"/>
  <c r="I24" i="26"/>
  <c r="I10" i="22"/>
  <c r="G10" i="22"/>
  <c r="I18" i="19"/>
  <c r="G18" i="19"/>
  <c r="G24" i="11"/>
  <c r="I24" i="11"/>
  <c r="G24" i="20"/>
  <c r="I24" i="20"/>
  <c r="G13" i="29"/>
  <c r="I13" i="29"/>
  <c r="I60" i="25"/>
  <c r="G60" i="25"/>
  <c r="I16" i="20"/>
  <c r="G16" i="20"/>
  <c r="K27" i="10"/>
  <c r="I27" i="10"/>
  <c r="I41" i="25"/>
  <c r="G41" i="25"/>
  <c r="I11" i="20"/>
  <c r="G11" i="20"/>
  <c r="I23" i="11"/>
  <c r="G23" i="11"/>
  <c r="I26" i="10"/>
  <c r="K26" i="10"/>
  <c r="I10" i="11"/>
  <c r="G10" i="11"/>
  <c r="K14" i="9"/>
  <c r="I14" i="9"/>
  <c r="I13" i="20"/>
  <c r="G13" i="20"/>
  <c r="G15" i="19"/>
  <c r="I15" i="19"/>
  <c r="I28" i="10"/>
  <c r="K28" i="10"/>
  <c r="I56" i="25"/>
  <c r="G56" i="25"/>
  <c r="I9" i="11"/>
  <c r="G9" i="11"/>
  <c r="I9" i="20"/>
  <c r="G9" i="20"/>
  <c r="I10" i="25"/>
  <c r="G10" i="25"/>
  <c r="I18" i="25"/>
  <c r="G18" i="25"/>
  <c r="I22" i="25"/>
  <c r="G22" i="25"/>
  <c r="I30" i="25"/>
  <c r="G30" i="25"/>
  <c r="I34" i="25"/>
  <c r="G34" i="25"/>
  <c r="I38" i="25"/>
  <c r="G38" i="25"/>
  <c r="I52" i="25"/>
  <c r="G52" i="25"/>
  <c r="I58" i="25"/>
  <c r="G58" i="25"/>
  <c r="K10" i="9"/>
  <c r="I10" i="9"/>
  <c r="K15" i="10"/>
  <c r="I15" i="10"/>
  <c r="I29" i="19"/>
  <c r="G29" i="19"/>
  <c r="I12" i="19"/>
  <c r="G12" i="19"/>
  <c r="I14" i="20"/>
  <c r="G14" i="20"/>
  <c r="I13" i="25"/>
  <c r="G13" i="25"/>
  <c r="I17" i="25"/>
  <c r="G17" i="25"/>
  <c r="I21" i="25"/>
  <c r="G21" i="25"/>
  <c r="I25" i="25"/>
  <c r="G25" i="25"/>
  <c r="I29" i="25"/>
  <c r="G29" i="25"/>
  <c r="I33" i="25"/>
  <c r="G33" i="25"/>
  <c r="I37" i="25"/>
  <c r="G37" i="25"/>
  <c r="I49" i="25"/>
  <c r="G49" i="25"/>
  <c r="I53" i="25"/>
  <c r="G53" i="25"/>
  <c r="I57" i="25"/>
  <c r="G57" i="25"/>
  <c r="G9" i="22"/>
  <c r="I9" i="22"/>
  <c r="I64" i="25"/>
  <c r="G64" i="25"/>
  <c r="I44" i="25"/>
  <c r="G44" i="25"/>
  <c r="I15" i="29"/>
  <c r="G15" i="29"/>
  <c r="I9" i="26"/>
  <c r="G9" i="26"/>
  <c r="I30" i="26"/>
  <c r="G30" i="26"/>
  <c r="I14" i="26"/>
  <c r="G14" i="26"/>
  <c r="I19" i="26"/>
  <c r="G19" i="26"/>
  <c r="I21" i="26"/>
  <c r="G21" i="26"/>
  <c r="I26" i="26"/>
  <c r="G26" i="26"/>
  <c r="I32" i="26"/>
  <c r="G32" i="26"/>
  <c r="I29" i="26"/>
  <c r="G29" i="26"/>
  <c r="A9" i="5"/>
  <c r="P17" i="10" l="1"/>
  <c r="M17" i="10"/>
  <c r="N17" i="10"/>
  <c r="P24" i="10"/>
  <c r="M24" i="10"/>
  <c r="N24" i="10"/>
  <c r="P19" i="10"/>
  <c r="M19" i="10"/>
  <c r="N19" i="10"/>
  <c r="P15" i="10"/>
  <c r="M15" i="10"/>
  <c r="N15" i="10"/>
  <c r="P25" i="10"/>
  <c r="M25" i="10"/>
  <c r="N25" i="10"/>
  <c r="P29" i="10"/>
  <c r="M29" i="10"/>
  <c r="N29" i="10"/>
  <c r="P14" i="10"/>
  <c r="M14" i="10"/>
  <c r="N14" i="10"/>
  <c r="P28" i="10"/>
  <c r="M28" i="10"/>
  <c r="N28" i="10"/>
  <c r="P21" i="10"/>
  <c r="M21" i="10"/>
  <c r="N21" i="10"/>
  <c r="P12" i="10"/>
  <c r="M12" i="10"/>
  <c r="N12" i="10"/>
  <c r="P20" i="10"/>
  <c r="M20" i="10"/>
  <c r="N20" i="10"/>
  <c r="P27" i="10"/>
  <c r="M27" i="10"/>
  <c r="N27" i="10"/>
  <c r="P22" i="10"/>
  <c r="M22" i="10"/>
  <c r="N22" i="10"/>
  <c r="P10" i="10"/>
  <c r="M10" i="10"/>
  <c r="N10" i="10"/>
  <c r="P18" i="10"/>
  <c r="M18" i="10"/>
  <c r="N18" i="10"/>
  <c r="P13" i="10"/>
  <c r="M13" i="10"/>
  <c r="N13" i="10"/>
  <c r="P16" i="10"/>
  <c r="M16" i="10"/>
  <c r="N16" i="10"/>
  <c r="P26" i="10"/>
  <c r="M26" i="10"/>
  <c r="N26" i="10"/>
  <c r="P11" i="10"/>
  <c r="M11" i="10"/>
  <c r="N11" i="10"/>
  <c r="P23" i="10"/>
  <c r="M23" i="10"/>
  <c r="N23" i="10"/>
  <c r="P41" i="9"/>
  <c r="N41" i="9"/>
  <c r="P36" i="9"/>
  <c r="N36" i="9"/>
  <c r="P39" i="9"/>
  <c r="N39" i="9"/>
  <c r="P40" i="9"/>
  <c r="N40" i="9"/>
  <c r="P38" i="9"/>
  <c r="N38" i="9"/>
  <c r="P45" i="9"/>
  <c r="N45" i="9"/>
  <c r="P44" i="9"/>
  <c r="N44" i="9"/>
  <c r="P43" i="9"/>
  <c r="N43" i="9"/>
  <c r="P42" i="9"/>
  <c r="N42" i="9"/>
  <c r="P37" i="9"/>
  <c r="N37" i="9"/>
  <c r="K35" i="10"/>
  <c r="I35" i="10"/>
  <c r="H35" i="10"/>
  <c r="K36" i="10"/>
  <c r="I36" i="10"/>
  <c r="K37" i="10"/>
  <c r="I37" i="10"/>
  <c r="H36" i="10"/>
  <c r="H37" i="10"/>
</calcChain>
</file>

<file path=xl/sharedStrings.xml><?xml version="1.0" encoding="utf-8"?>
<sst xmlns="http://schemas.openxmlformats.org/spreadsheetml/2006/main" count="1031" uniqueCount="364">
  <si>
    <t>Содержание</t>
  </si>
  <si>
    <t>Номенклатура</t>
  </si>
  <si>
    <t>Описание</t>
  </si>
  <si>
    <t>Категория</t>
  </si>
  <si>
    <t>наценка</t>
  </si>
  <si>
    <t>скидка</t>
  </si>
  <si>
    <t>Категория 0</t>
  </si>
  <si>
    <t>Категория 1</t>
  </si>
  <si>
    <t>Категория 2</t>
  </si>
  <si>
    <t>Категория 3</t>
  </si>
  <si>
    <t>Категория 4</t>
  </si>
  <si>
    <t>Категория 5</t>
  </si>
  <si>
    <t>E-Stripe</t>
  </si>
  <si>
    <t>полотно в покрытии эмаль с широкой классической фрезеровкой и дополнительным контуром по краю фрезеровки</t>
  </si>
  <si>
    <t>E-Nova</t>
  </si>
  <si>
    <t>полотно в покрытии эмаль с глубокой классической фрезеровкой</t>
  </si>
  <si>
    <t>E-Lattice</t>
  </si>
  <si>
    <t>полотно в покрытии эмаль с решеткой</t>
  </si>
  <si>
    <t>E-Level</t>
  </si>
  <si>
    <t>полотно в покрытии эмаль со ступенчатой фрезеровкой</t>
  </si>
  <si>
    <t>Возможность изготовления и особенности серии см."E приложение"</t>
  </si>
  <si>
    <t>R1 ДГ</t>
  </si>
  <si>
    <t>-</t>
  </si>
  <si>
    <t>R2 ДГ</t>
  </si>
  <si>
    <t>R3 ДГ</t>
  </si>
  <si>
    <t>R4 ДГ</t>
  </si>
  <si>
    <t>R5 ДГ</t>
  </si>
  <si>
    <t>Возможность изготовления и особенности серии см."R приложение"</t>
  </si>
  <si>
    <t>СОДЕРЖАНИЕ</t>
  </si>
  <si>
    <t>I</t>
  </si>
  <si>
    <t>ПОЛОТНА</t>
  </si>
  <si>
    <t>наименование</t>
  </si>
  <si>
    <t>описание</t>
  </si>
  <si>
    <t>покрытие</t>
  </si>
  <si>
    <t>Серия E</t>
  </si>
  <si>
    <t>серия глубокой фрезеровки</t>
  </si>
  <si>
    <t>эмаль</t>
  </si>
  <si>
    <t>описание E</t>
  </si>
  <si>
    <t>Серия R</t>
  </si>
  <si>
    <t>мелкая фрезеровка (классика)</t>
  </si>
  <si>
    <t>описание R</t>
  </si>
  <si>
    <t>Серия Z</t>
  </si>
  <si>
    <t>мелкая фрезеровка (современный стиль)</t>
  </si>
  <si>
    <t>описание Z</t>
  </si>
  <si>
    <t>Серия F</t>
  </si>
  <si>
    <t>щитовая серия</t>
  </si>
  <si>
    <t>описание F</t>
  </si>
  <si>
    <t>Серия FV</t>
  </si>
  <si>
    <t>щитовая серия со стеклом</t>
  </si>
  <si>
    <t>ПВХ</t>
  </si>
  <si>
    <t>описание FV</t>
  </si>
  <si>
    <t>Серия K</t>
  </si>
  <si>
    <t>описание K</t>
  </si>
  <si>
    <t>Серия S</t>
  </si>
  <si>
    <t>описание S</t>
  </si>
  <si>
    <t>Серия V</t>
  </si>
  <si>
    <t>стоечная серия (современный стиль)</t>
  </si>
  <si>
    <t>описание V</t>
  </si>
  <si>
    <t>Серия P</t>
  </si>
  <si>
    <t>перегородки</t>
  </si>
  <si>
    <t>описание P</t>
  </si>
  <si>
    <t>II</t>
  </si>
  <si>
    <t>ПОГОНАЖ</t>
  </si>
  <si>
    <t>III</t>
  </si>
  <si>
    <t>ПРОЧИЕ ЭЛЕМЕНТЫ</t>
  </si>
  <si>
    <t>IV</t>
  </si>
  <si>
    <t>КАТЕГОРИИ ПОКРЫТИЙ</t>
  </si>
  <si>
    <t>ЭМАЛЬ</t>
  </si>
  <si>
    <t>Дуб молочный</t>
  </si>
  <si>
    <t>Акация светлая</t>
  </si>
  <si>
    <t>Акация темная</t>
  </si>
  <si>
    <t>Венге рифленый</t>
  </si>
  <si>
    <t>Кедр шоколад</t>
  </si>
  <si>
    <t>Миндаль</t>
  </si>
  <si>
    <t>Бетон известковый</t>
  </si>
  <si>
    <t xml:space="preserve">Бетон серый </t>
  </si>
  <si>
    <t>Бетон антрацит</t>
  </si>
  <si>
    <t>Бетон бежевый</t>
  </si>
  <si>
    <t>Дримвуд белый</t>
  </si>
  <si>
    <t>Дуб сонома трюфель</t>
  </si>
  <si>
    <t>Снежное дерево</t>
  </si>
  <si>
    <t>Песочное дерево</t>
  </si>
  <si>
    <t>Дымчатое дерево</t>
  </si>
  <si>
    <t>Белая структурная</t>
  </si>
  <si>
    <t>Камень темный</t>
  </si>
  <si>
    <t>Венеция гриджио</t>
  </si>
  <si>
    <t xml:space="preserve">ral 9003 </t>
  </si>
  <si>
    <t>ral 9010</t>
  </si>
  <si>
    <t>ral 7047</t>
  </si>
  <si>
    <t>ral 7045</t>
  </si>
  <si>
    <t>Z1 ДГ</t>
  </si>
  <si>
    <t>Z2 ДГ</t>
  </si>
  <si>
    <t>Z3 ДГ</t>
  </si>
  <si>
    <t>Z4 ДГ</t>
  </si>
  <si>
    <t>Возможность изготовления и особенности серии см."Z приложение"</t>
  </si>
  <si>
    <t>F0</t>
  </si>
  <si>
    <t>узкий алюм. молдинг в середине полотна</t>
  </si>
  <si>
    <t>5 узких алюм. молдингов на полотне</t>
  </si>
  <si>
    <t>2 широких алюм. молдинга на полотне</t>
  </si>
  <si>
    <t>Широкая алюминиевая кромка на торцах полотна</t>
  </si>
  <si>
    <t>2AL (с 2х сторон)</t>
  </si>
  <si>
    <t>хром</t>
  </si>
  <si>
    <t>по умолчанию</t>
  </si>
  <si>
    <t>черная</t>
  </si>
  <si>
    <t>4AL (по периметру)</t>
  </si>
  <si>
    <t>Возможность изготовления и особенности серии см."F приложение"</t>
  </si>
  <si>
    <t>крашеное стекло посередине</t>
  </si>
  <si>
    <t>2а крашеных стекла, горизонтально</t>
  </si>
  <si>
    <t>узкое крашеное стекло вертикально</t>
  </si>
  <si>
    <t>широкое крашеное стекло вертикально</t>
  </si>
  <si>
    <t>Возможность изготовления и особенности серии см."FV приложение"</t>
  </si>
  <si>
    <t>K1</t>
  </si>
  <si>
    <t>K2</t>
  </si>
  <si>
    <t>K4</t>
  </si>
  <si>
    <t>K5</t>
  </si>
  <si>
    <t>Вид стекла</t>
  </si>
  <si>
    <t>Категория 
стекла</t>
  </si>
  <si>
    <t>K1 ДО</t>
  </si>
  <si>
    <t>алмазная гравировка
(рис. Сетка, Решетка)</t>
  </si>
  <si>
    <t>белое</t>
  </si>
  <si>
    <t>бронза</t>
  </si>
  <si>
    <t>доплата за закалку</t>
  </si>
  <si>
    <t>K2 ДО</t>
  </si>
  <si>
    <t>K4 ДО</t>
  </si>
  <si>
    <t>K5 ДО</t>
  </si>
  <si>
    <t>алмазная гравировка
(рис. Сетка, Виктория)</t>
  </si>
  <si>
    <t>Возможность изготовления и особенности серии см."K приложение"</t>
  </si>
  <si>
    <t>Короб 
(телескоп)</t>
  </si>
  <si>
    <t>Наличник 
прямой 
(телескоп)</t>
  </si>
  <si>
    <t>Наличник 
фигурный
(телескоп)</t>
  </si>
  <si>
    <t>Наличник 
ступенчатый
(телескоп)</t>
  </si>
  <si>
    <t>Притворная 
планка</t>
  </si>
  <si>
    <t>за кв.м</t>
  </si>
  <si>
    <t xml:space="preserve">рейка
</t>
  </si>
  <si>
    <t xml:space="preserve"> панельная 45*45</t>
  </si>
  <si>
    <t>соединительные элементы</t>
  </si>
  <si>
    <t>верхние (86*86*16)</t>
  </si>
  <si>
    <t>нижние (250*86*16)</t>
  </si>
  <si>
    <t>алюминиевый короб универсальный</t>
  </si>
  <si>
    <t>Скрытые петли К6360</t>
  </si>
  <si>
    <t>Магнитный замок PUNTO</t>
  </si>
  <si>
    <t>S1 ДО</t>
  </si>
  <si>
    <t>S4 ДО</t>
  </si>
  <si>
    <t>стекло 4 мм (белое, бронзовое)</t>
  </si>
  <si>
    <t>Возможность изготовления и особенности серии см."S приложение"</t>
  </si>
  <si>
    <t xml:space="preserve">T-образный молдинг 4 шт. </t>
  </si>
  <si>
    <t>стекло крашеное (Черное, Бронза, Серое, Белое, Айвори)</t>
  </si>
  <si>
    <t>Возможность изготовления и особенности серии см."V приложение"</t>
  </si>
  <si>
    <t>глянец</t>
  </si>
  <si>
    <t>Комбинация триплекса:
1. зеркало с 2х сторон 
2. зеркало + ярко-белое (или черное) стекло</t>
  </si>
  <si>
    <t>с эффектом матирования</t>
  </si>
  <si>
    <t>Возможность изготовления и особенности серии см."P приложение"</t>
  </si>
  <si>
    <t>стеновая панель плоская 10 мм</t>
  </si>
  <si>
    <t>Наличник 
компланарный 
(телескоп)</t>
  </si>
  <si>
    <t>Короб компланарный
(телескоп)</t>
  </si>
  <si>
    <t>наименование категории</t>
  </si>
  <si>
    <t>наценка 
к 0 категории</t>
  </si>
  <si>
    <t>ИТОГО КОМПЛЕКТ (без расширителя)</t>
  </si>
  <si>
    <t>наличник Cosmo</t>
  </si>
  <si>
    <t>расширитель Cosmo</t>
  </si>
  <si>
    <t>короб 
Cosmo</t>
  </si>
  <si>
    <t xml:space="preserve">полотно 
Cosmo </t>
  </si>
  <si>
    <t>полотно грунт 39 мм</t>
  </si>
  <si>
    <t>полотно грунт 
с притвором
59 мм</t>
  </si>
  <si>
    <t>600, 
700, 
800</t>
  </si>
  <si>
    <t>Размер, мм</t>
  </si>
  <si>
    <t>Ш</t>
  </si>
  <si>
    <t>Т</t>
  </si>
  <si>
    <t>В</t>
  </si>
  <si>
    <t>Примечание:</t>
  </si>
  <si>
    <t>1. Отгрузка погонажных изделий только упаковками. Разукомплектовка не допускается.</t>
  </si>
  <si>
    <t>2. Короб Cosmo - 3 шт. в упаковке</t>
  </si>
  <si>
    <t>4. Добор Cosmo - 3 шт. в упаковке</t>
  </si>
  <si>
    <t>3. Наличник Cosmo - 5 шт. (4 шт.х 2150 мм + 2 шт.х 1000 мм) в упаковке</t>
  </si>
  <si>
    <t>В=2070 мм</t>
  </si>
  <si>
    <t>В=2150 мм</t>
  </si>
  <si>
    <t>Расширитель</t>
  </si>
  <si>
    <t>вставка из ПВХ посередине</t>
  </si>
  <si>
    <t>широкая вставка из ПВХ вертикально</t>
  </si>
  <si>
    <t>Декорирование вставками из ПВХ</t>
  </si>
  <si>
    <t>Стандартный погонаж</t>
  </si>
  <si>
    <t>Компланарный погонаж</t>
  </si>
  <si>
    <t>стоечно-связочная серия (классика)</t>
  </si>
  <si>
    <t>стоечно-связочная серия (современный стиль)</t>
  </si>
  <si>
    <t>Хром</t>
  </si>
  <si>
    <t>Черный</t>
  </si>
  <si>
    <t xml:space="preserve">РРЦ 
</t>
  </si>
  <si>
    <t>ОПТ (дилер)</t>
  </si>
  <si>
    <t>ОПТ (субдилер)</t>
  </si>
  <si>
    <t>спец.цена</t>
  </si>
  <si>
    <t>без НДС</t>
  </si>
  <si>
    <t>с НДС</t>
  </si>
  <si>
    <t>ИТОГО КОМПЛЕКТ 
(без расширителя с фурнитурой хром)</t>
  </si>
  <si>
    <t>ИТОГО КОМПЛЕКТ 
(без расширителя с фурнитурой черный)</t>
  </si>
  <si>
    <t>Наценки:</t>
  </si>
  <si>
    <t>высота</t>
  </si>
  <si>
    <t>полотно</t>
  </si>
  <si>
    <t>короб</t>
  </si>
  <si>
    <t>под бетон</t>
  </si>
  <si>
    <t>под натуральное дерево</t>
  </si>
  <si>
    <t>под крашеное дерево</t>
  </si>
  <si>
    <t>под камень</t>
  </si>
  <si>
    <t>под штукатурку</t>
  </si>
  <si>
    <t>под эмаль</t>
  </si>
  <si>
    <t>ширина</t>
  </si>
  <si>
    <t xml:space="preserve">Прайс MAESTRO PORTE от </t>
  </si>
  <si>
    <t>база</t>
  </si>
  <si>
    <t>дерево</t>
  </si>
  <si>
    <t>фурнитура</t>
  </si>
  <si>
    <t>РРЦ</t>
  </si>
  <si>
    <t>заказная продукция</t>
  </si>
  <si>
    <t>складская продукция</t>
  </si>
  <si>
    <t>Орех NY светлый</t>
  </si>
  <si>
    <t>Орех NY смоук</t>
  </si>
  <si>
    <t>Орех NY классический</t>
  </si>
  <si>
    <t>V</t>
  </si>
  <si>
    <t>СКЛАДСКИЕ ПОЗИЦИИ</t>
  </si>
  <si>
    <t>Двери под покраску</t>
  </si>
  <si>
    <t>Двери в эмали</t>
  </si>
  <si>
    <t>VI</t>
  </si>
  <si>
    <t>ФУРНИТУРА</t>
  </si>
  <si>
    <t xml:space="preserve">доход дилера  </t>
  </si>
  <si>
    <t xml:space="preserve"> (спец-суб)</t>
  </si>
  <si>
    <t>(без ндс-суб)</t>
  </si>
  <si>
    <t>доход субдилер</t>
  </si>
  <si>
    <r>
      <t xml:space="preserve">Описание коллекции:
</t>
    </r>
    <r>
      <rPr>
        <sz val="10"/>
        <rFont val="Times New Roman"/>
        <family val="1"/>
        <charset val="204"/>
      </rPr>
      <t xml:space="preserve">Коллекция R - щитовая серия с элементами неглубокой фрезеровки. Внутреннее наполнение - соты. В покрытии ПВХ только глухое исполнение; по периметру Т-образный молдинг. </t>
    </r>
  </si>
  <si>
    <t>ВЫСОТА полотен, мм</t>
  </si>
  <si>
    <t>стандартная</t>
  </si>
  <si>
    <t>1900, 2000, 2100</t>
  </si>
  <si>
    <t>возможная</t>
  </si>
  <si>
    <t>1900, 2000, 2100, 2200, 2300, 2400</t>
  </si>
  <si>
    <t>ШИРИНА полотен, мм</t>
  </si>
  <si>
    <t>500, 600, 700, 800</t>
  </si>
  <si>
    <t>500, 600, 700, 800, 900</t>
  </si>
  <si>
    <t>Цены на модели  см."Серия R"</t>
  </si>
  <si>
    <t>Модификации</t>
  </si>
  <si>
    <t>ВЫСОТА</t>
  </si>
  <si>
    <t>ШИРИНА</t>
  </si>
  <si>
    <t>возможно</t>
  </si>
  <si>
    <t>Габаритные размеры</t>
  </si>
  <si>
    <t>Варианты исполнения</t>
  </si>
  <si>
    <t>глухое исполнение 
(ДГ)</t>
  </si>
  <si>
    <t>исполнение со стеклом 
(ДО)</t>
  </si>
  <si>
    <t>вид стекла</t>
  </si>
  <si>
    <t>4 мм</t>
  </si>
  <si>
    <t>4+4 мм</t>
  </si>
  <si>
    <t>E-Lattice 10</t>
  </si>
  <si>
    <t>E-Level 1</t>
  </si>
  <si>
    <t>модификации</t>
  </si>
  <si>
    <t>модель</t>
  </si>
  <si>
    <t>E-Stripe1, 2, 3, 4</t>
  </si>
  <si>
    <t>E-Nova1, 2, 3, 4</t>
  </si>
  <si>
    <t>алмазная гравировка
(Сетка, Решетка)</t>
  </si>
  <si>
    <t>рисунок 
по стеклу (Сетка)</t>
  </si>
  <si>
    <t>сатинат</t>
  </si>
  <si>
    <t>доплата 
за закалку</t>
  </si>
  <si>
    <r>
      <t xml:space="preserve">Описание серии:
</t>
    </r>
    <r>
      <rPr>
        <sz val="10"/>
        <rFont val="Times New Roman"/>
        <family val="1"/>
        <charset val="204"/>
      </rPr>
      <t>Серия Е - щитовая серия с элементами фрезеровки. Внутреннее наполнение - соты. Исполняется в покрытии ЭМАЛЬ</t>
    </r>
  </si>
  <si>
    <t>коллекция</t>
  </si>
  <si>
    <t>5. Погонаж Cosmo под заказ не изготавливается. Только складская программа!</t>
  </si>
  <si>
    <t xml:space="preserve">РРЦ   </t>
  </si>
  <si>
    <t xml:space="preserve">ОПТ   </t>
  </si>
  <si>
    <t>ТЕРЕМ</t>
  </si>
  <si>
    <t>опт</t>
  </si>
  <si>
    <t>F-Steel 1.1g</t>
  </si>
  <si>
    <t>F-Steel 5.1g</t>
  </si>
  <si>
    <t>F-Steel 2.2g</t>
  </si>
  <si>
    <t>F-Deco 1.2v</t>
  </si>
  <si>
    <t>F-Deco 1.2g</t>
  </si>
  <si>
    <t>FV/1.2g</t>
  </si>
  <si>
    <t>FV/2.3g</t>
  </si>
  <si>
    <t>FV/1.1v</t>
  </si>
  <si>
    <t>FV/1.2v</t>
  </si>
  <si>
    <t>S1 ДГ</t>
  </si>
  <si>
    <t>S5 ДГ</t>
  </si>
  <si>
    <t>S5 ДО</t>
  </si>
  <si>
    <t>S4 ДГ</t>
  </si>
  <si>
    <t>S9 ДГ</t>
  </si>
  <si>
    <t>S9 ДО</t>
  </si>
  <si>
    <t>V0 ДГ</t>
  </si>
  <si>
    <t>V0 ДО</t>
  </si>
  <si>
    <t>V5 ДГ</t>
  </si>
  <si>
    <t>V5 ДО</t>
  </si>
  <si>
    <t>V13 ДО</t>
  </si>
  <si>
    <t>Цвет
стекла</t>
  </si>
  <si>
    <t>E-Stripe 2,3,4 ДО</t>
  </si>
  <si>
    <t>E-Nova 1 ДО</t>
  </si>
  <si>
    <t>E-Nova 2,3, 4 ДО</t>
  </si>
  <si>
    <t>E-Lattice 10 ДО</t>
  </si>
  <si>
    <t>E-Nova 3, 4 ДГО</t>
  </si>
  <si>
    <t>E-Stripe 3,4 ДГО</t>
  </si>
  <si>
    <t>E-Stripe 4 ДГО2</t>
  </si>
  <si>
    <t>E-Nova 3, 4 ДГО2</t>
  </si>
  <si>
    <t>+</t>
  </si>
  <si>
    <t>E-Stripe 1, 3 ДО</t>
  </si>
  <si>
    <t>ОПТ</t>
  </si>
  <si>
    <t>цвет</t>
  </si>
  <si>
    <t>широкая алюм.кромка с 2х сторон</t>
  </si>
  <si>
    <t>Т-образный молдинг с 2-х сторон</t>
  </si>
  <si>
    <t>Стоимость изготовления стекла для модели К4 только среднее 30% от стоимости ДО</t>
  </si>
  <si>
    <t>Стоимость изготовления стекла для модели К4 только верхнее 70% от стоимости ДО</t>
  </si>
  <si>
    <t>P1,2,3,5</t>
  </si>
  <si>
    <t>широкая алюм.кромка 
с 2х сторон</t>
  </si>
  <si>
    <t>Т-образный молдинг 
с 2-х сторон</t>
  </si>
  <si>
    <t>грунт</t>
  </si>
  <si>
    <t>*закалка в бронзе не делается</t>
  </si>
  <si>
    <t>стекло триплекс 4+4 (прозрачный, белый, черный, серый, бронза)</t>
  </si>
  <si>
    <t>стекло триплекс 2+2 (прозрачный, белый, ярко-белый, черный)</t>
  </si>
  <si>
    <t>Полотна</t>
  </si>
  <si>
    <t>АЛЮМИНИЙ</t>
  </si>
  <si>
    <t>Белоснежный 01</t>
  </si>
  <si>
    <t>Светло-серый 23</t>
  </si>
  <si>
    <t>Силк 25</t>
  </si>
  <si>
    <t>Стил 33</t>
  </si>
  <si>
    <t>ДЕКОРЫ</t>
  </si>
  <si>
    <t>Карелия светлая</t>
  </si>
  <si>
    <t>Дуб шале снежный</t>
  </si>
  <si>
    <t>Дуб шале натур</t>
  </si>
  <si>
    <t>Дуб шале седой</t>
  </si>
  <si>
    <t>Миндаль рифленный</t>
  </si>
  <si>
    <t>Ясень бланко</t>
  </si>
  <si>
    <t>Сандал белый</t>
  </si>
  <si>
    <t>Дуб кантри горизонт</t>
  </si>
  <si>
    <t>Лофт белый</t>
  </si>
  <si>
    <t>Лофт графит</t>
  </si>
  <si>
    <t>Лофт ваниль</t>
  </si>
  <si>
    <t>Лофт капучино</t>
  </si>
  <si>
    <t>Лофт грей</t>
  </si>
  <si>
    <t>Сноу</t>
  </si>
  <si>
    <t>Кеймстоун</t>
  </si>
  <si>
    <t>Пит</t>
  </si>
  <si>
    <t>под эмаль (полипропилен)</t>
  </si>
  <si>
    <t>Белый снег</t>
  </si>
  <si>
    <t>Милк софт</t>
  </si>
  <si>
    <t>Кварц софт</t>
  </si>
  <si>
    <t>Смоки софт</t>
  </si>
  <si>
    <t>Массив магнолия</t>
  </si>
  <si>
    <t>Массив бианко</t>
  </si>
  <si>
    <t>курс</t>
  </si>
  <si>
    <t>наценка к закупу</t>
  </si>
  <si>
    <r>
      <t xml:space="preserve">закуп, </t>
    </r>
    <r>
      <rPr>
        <sz val="11"/>
        <color theme="1"/>
        <rFont val="Calibri"/>
        <family val="2"/>
        <charset val="204"/>
      </rPr>
      <t>€</t>
    </r>
  </si>
  <si>
    <t>K6360 (хром)</t>
  </si>
  <si>
    <t>K6360 (черный)</t>
  </si>
  <si>
    <t>защелка Punto под защелку, под цилиндр (хром)</t>
  </si>
  <si>
    <t>защелка Punto под защелку, под цилиндр (черная)</t>
  </si>
  <si>
    <t xml:space="preserve">врезка </t>
  </si>
  <si>
    <t>комплекты</t>
  </si>
  <si>
    <t>2 петли+защелка (хром)</t>
  </si>
  <si>
    <t>2 петли+защелка (черный)</t>
  </si>
  <si>
    <t>3 петли+защелка (хром)</t>
  </si>
  <si>
    <t>3 петли+защелка (черный)</t>
  </si>
  <si>
    <t>комплекты (без петель)</t>
  </si>
  <si>
    <t>под 2 петли+защелка (хром)</t>
  </si>
  <si>
    <t>под 2 петли+защелка (черный)</t>
  </si>
  <si>
    <t>под 3 петли+защелка (хром)</t>
  </si>
  <si>
    <t>под 3 петли+защелка (черный)</t>
  </si>
  <si>
    <t>Итого комплект фурнитуры на 2 петли (хром)</t>
  </si>
  <si>
    <t>Итого комплект фурнитуры на 2 петли (черный)</t>
  </si>
  <si>
    <t>Итого комплект фурнитуры на 3 петли (хром)</t>
  </si>
  <si>
    <t>Итого комплект фурнитуры на 3 петли (черный)</t>
  </si>
  <si>
    <t>комплекты (без замков)</t>
  </si>
  <si>
    <t>2 петли+врезка под замок (хром)</t>
  </si>
  <si>
    <t>2 петли+врезка под замок (черный)</t>
  </si>
  <si>
    <t>3 петли+врезка под замок (хром)</t>
  </si>
  <si>
    <t>3 петли+врезка под замок (черный)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</si>
</sst>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\ _₽_-;\-* #,##0\ _₽_-;_-* &quot;-&quot;\ _₽_-;_-@_-"/>
    <numFmt numFmtId="165" formatCode="_-* #,##0.00\ &quot;₽&quot;_-;\-* #,##0.00\ &quot;₽&quot;_-;_-* &quot;-&quot;??\ &quot;₽&quot;_-;_-@_-"/>
    <numFmt numFmtId="166" formatCode="_-* #,##0.00\ _₽_-;\-* #,##0.00\ _₽_-;_-* &quot;-&quot;??\ _₽_-;_-@_-"/>
    <numFmt numFmtId="167" formatCode="#,##0;[Red]#,##0"/>
    <numFmt numFmtId="168" formatCode="_-* #,##0_р_._-;\-* #,##0_р_._-;_-* &quot;-&quot;??_р_._-;_-@_-"/>
    <numFmt numFmtId="169" formatCode="0_ ;\-0\ "/>
    <numFmt numFmtId="170" formatCode="0.0%"/>
    <numFmt numFmtId="171" formatCode="_-* #,##0.0_р_._-;\-* #,##0.0_р_._-;_-* &quot;-&quot;??_р_._-;_-@_-"/>
  </numFmts>
  <fonts count="14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"/>
      <family val="2"/>
      <charset val="1"/>
    </font>
    <font>
      <sz val="9"/>
      <name val="Times New Roman"/>
      <family val="1"/>
      <charset val="1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u/>
      <sz val="8"/>
      <color indexed="12"/>
      <name val="Arial"/>
      <family val="2"/>
      <charset val="1"/>
    </font>
    <font>
      <u/>
      <sz val="16"/>
      <color indexed="12"/>
      <name val="Times New Roman"/>
      <family val="1"/>
      <charset val="204"/>
    </font>
    <font>
      <b/>
      <sz val="8"/>
      <color indexed="12"/>
      <name val="Times New Roman"/>
      <family val="1"/>
      <charset val="1"/>
    </font>
    <font>
      <sz val="10"/>
      <color indexed="8"/>
      <name val="Times New Roman"/>
      <family val="1"/>
      <charset val="1"/>
    </font>
    <font>
      <b/>
      <sz val="9"/>
      <color theme="6" tint="-0.499984740745262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8"/>
      <color theme="0" tint="-0.499984740745262"/>
      <name val="Arial"/>
      <family val="2"/>
      <charset val="1"/>
    </font>
    <font>
      <b/>
      <sz val="8"/>
      <color theme="0" tint="-0.499984740745262"/>
      <name val="Arial"/>
      <family val="2"/>
      <charset val="1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0"/>
      <color indexed="18"/>
      <name val="Times New Roman"/>
      <family val="1"/>
      <charset val="204"/>
    </font>
    <font>
      <b/>
      <sz val="10"/>
      <color indexed="18"/>
      <name val="Times New Roman"/>
      <family val="1"/>
      <charset val="204"/>
    </font>
    <font>
      <sz val="8"/>
      <name val="Arial"/>
      <family val="2"/>
      <charset val="1"/>
    </font>
    <font>
      <sz val="11"/>
      <name val="Arial"/>
      <family val="2"/>
      <charset val="1"/>
    </font>
    <font>
      <b/>
      <sz val="11"/>
      <color theme="0" tint="-0.499984740745262"/>
      <name val="Arial"/>
      <family val="2"/>
      <charset val="204"/>
    </font>
    <font>
      <i/>
      <sz val="8"/>
      <name val="Arial"/>
      <family val="2"/>
      <charset val="204"/>
    </font>
    <font>
      <b/>
      <sz val="12"/>
      <name val="Arial"/>
      <family val="2"/>
      <charset val="204"/>
    </font>
    <font>
      <sz val="9"/>
      <name val="Arial"/>
      <family val="2"/>
      <charset val="1"/>
    </font>
    <font>
      <sz val="9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宋体"/>
      <charset val="134"/>
    </font>
    <font>
      <sz val="11"/>
      <color indexed="9"/>
      <name val="Calibri"/>
      <family val="2"/>
      <charset val="204"/>
    </font>
    <font>
      <sz val="11"/>
      <color indexed="9"/>
      <name val="宋体"/>
      <charset val="13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2"/>
      <name val="宋体"/>
      <charset val="13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indexed="12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0"/>
      <color theme="10"/>
      <name val="Arial Cyr"/>
      <charset val="204"/>
    </font>
    <font>
      <sz val="11"/>
      <color theme="1"/>
      <name val="Calibri"/>
      <family val="2"/>
      <scheme val="minor"/>
    </font>
    <font>
      <sz val="10"/>
      <name val="Arial Cyr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</font>
    <font>
      <sz val="10"/>
      <color theme="1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177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b/>
      <sz val="8"/>
      <name val="Arial"/>
      <family val="2"/>
      <charset val="204"/>
    </font>
    <font>
      <sz val="10"/>
      <color rgb="FFFE0000"/>
      <name val="Arial"/>
      <family val="2"/>
    </font>
    <font>
      <b/>
      <sz val="10"/>
      <name val="Times New Roman"/>
      <family val="1"/>
      <charset val="1"/>
    </font>
    <font>
      <sz val="9"/>
      <color indexed="8"/>
      <name val="Times New Roman"/>
      <family val="1"/>
      <charset val="204"/>
    </font>
    <font>
      <sz val="8"/>
      <color theme="0" tint="-0.14999847407452621"/>
      <name val="Arial"/>
      <family val="2"/>
      <charset val="1"/>
    </font>
    <font>
      <i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i/>
      <sz val="18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9"/>
      <name val="Arial"/>
      <family val="2"/>
      <charset val="204"/>
    </font>
    <font>
      <u/>
      <sz val="8"/>
      <name val="Arial"/>
      <family val="2"/>
      <charset val="1"/>
    </font>
    <font>
      <sz val="8"/>
      <color theme="1"/>
      <name val="Calibri"/>
      <family val="2"/>
      <charset val="204"/>
      <scheme val="minor"/>
    </font>
    <font>
      <b/>
      <sz val="20"/>
      <name val="Arial"/>
      <family val="2"/>
      <charset val="204"/>
    </font>
    <font>
      <b/>
      <sz val="8"/>
      <color theme="6" tint="-0.499984740745262"/>
      <name val="Arial"/>
      <family val="2"/>
      <charset val="1"/>
    </font>
    <font>
      <b/>
      <sz val="10"/>
      <color theme="6" tint="-0.499984740745262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8"/>
      <color theme="1"/>
      <name val="Arial"/>
      <family val="2"/>
      <charset val="1"/>
    </font>
    <font>
      <b/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1"/>
    </font>
    <font>
      <sz val="10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0"/>
      <name val="Arial Cyr"/>
    </font>
    <font>
      <b/>
      <sz val="11"/>
      <color theme="1"/>
      <name val="Calibri"/>
      <family val="2"/>
      <charset val="204"/>
      <scheme val="minor"/>
    </font>
    <font>
      <b/>
      <sz val="8"/>
      <color theme="0" tint="-0.49998474074526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1"/>
    </font>
    <font>
      <b/>
      <sz val="9"/>
      <name val="Times New Roman"/>
      <family val="1"/>
      <charset val="1"/>
    </font>
    <font>
      <sz val="9"/>
      <color theme="6" tint="-0.499984740745262"/>
      <name val="Times New Roman"/>
      <family val="1"/>
      <charset val="204"/>
    </font>
    <font>
      <i/>
      <sz val="8"/>
      <name val="Arial"/>
      <family val="2"/>
      <charset val="1"/>
    </font>
    <font>
      <i/>
      <sz val="12"/>
      <name val="Calibri"/>
      <family val="2"/>
      <charset val="204"/>
      <scheme val="minor"/>
    </font>
    <font>
      <i/>
      <sz val="8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b/>
      <i/>
      <sz val="8"/>
      <name val="Arial"/>
      <family val="2"/>
      <charset val="1"/>
    </font>
    <font>
      <sz val="8"/>
      <color theme="5" tint="-0.249977111117893"/>
      <name val="Arial"/>
      <family val="2"/>
      <charset val="1"/>
    </font>
    <font>
      <sz val="9"/>
      <color theme="5" tint="-0.249977111117893"/>
      <name val="Times New Roman"/>
      <family val="1"/>
      <charset val="204"/>
    </font>
    <font>
      <sz val="10"/>
      <color theme="5" tint="-0.249977111117893"/>
      <name val="Times New Roman"/>
      <family val="1"/>
      <charset val="204"/>
    </font>
    <font>
      <i/>
      <sz val="10"/>
      <color theme="5" tint="-0.249977111117893"/>
      <name val="Times New Roman"/>
      <family val="1"/>
      <charset val="204"/>
    </font>
    <font>
      <sz val="8"/>
      <color rgb="FF00B050"/>
      <name val="Arial"/>
      <family val="2"/>
      <charset val="1"/>
    </font>
    <font>
      <sz val="8"/>
      <color theme="5" tint="-0.499984740745262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0"/>
      <color theme="6" tint="-0.499984740745262"/>
      <name val="Times New Roman"/>
      <family val="1"/>
      <charset val="204"/>
    </font>
    <font>
      <sz val="8"/>
      <color indexed="8"/>
      <name val="Times New Roman"/>
      <family val="1"/>
      <charset val="204"/>
    </font>
    <font>
      <i/>
      <sz val="8"/>
      <color theme="0" tint="-0.499984740745262"/>
      <name val="Arial"/>
      <family val="2"/>
      <charset val="1"/>
    </font>
    <font>
      <sz val="22"/>
      <color theme="1"/>
      <name val="Calibri"/>
      <family val="2"/>
      <charset val="204"/>
      <scheme val="minor"/>
    </font>
    <font>
      <sz val="10"/>
      <color theme="0" tint="-0.499984740745262"/>
      <name val="Times New Roman"/>
      <family val="1"/>
      <charset val="204"/>
    </font>
    <font>
      <sz val="9"/>
      <color theme="0" tint="-0.499984740745262"/>
      <name val="Times New Roman"/>
      <family val="1"/>
      <charset val="204"/>
    </font>
    <font>
      <sz val="9"/>
      <color theme="0" tint="-0.499984740745262"/>
      <name val="Times New Roman"/>
      <family val="1"/>
      <charset val="1"/>
    </font>
    <font>
      <sz val="12"/>
      <color theme="0" tint="-0.499984740745262"/>
      <name val="Calibri"/>
      <family val="2"/>
      <charset val="204"/>
      <scheme val="minor"/>
    </font>
    <font>
      <sz val="8"/>
      <color theme="0" tint="-0.499984740745262"/>
      <name val="Times New Roman"/>
      <family val="1"/>
      <charset val="204"/>
    </font>
    <font>
      <b/>
      <i/>
      <sz val="18"/>
      <color theme="0" tint="-0.499984740745262"/>
      <name val="Calibri"/>
      <family val="2"/>
      <charset val="204"/>
      <scheme val="minor"/>
    </font>
    <font>
      <sz val="10"/>
      <color theme="0" tint="-0.499984740745262"/>
      <name val="Arial Cyr"/>
    </font>
    <font>
      <sz val="11"/>
      <color theme="1"/>
      <name val="Calibri"/>
      <family val="2"/>
      <charset val="204"/>
    </font>
    <font>
      <b/>
      <sz val="8"/>
      <color theme="0"/>
      <name val="Arial"/>
      <family val="2"/>
      <charset val="1"/>
    </font>
    <font>
      <b/>
      <sz val="9"/>
      <color theme="0"/>
      <name val="Times New Roman"/>
      <family val="1"/>
      <charset val="204"/>
    </font>
    <font>
      <b/>
      <sz val="8"/>
      <color theme="0"/>
      <name val="Times New Roman"/>
      <family val="1"/>
      <charset val="1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8"/>
      <color theme="0"/>
      <name val="Arial"/>
      <family val="2"/>
      <charset val="1"/>
    </font>
    <font>
      <b/>
      <sz val="10"/>
      <color theme="0"/>
      <name val="Times New Roman"/>
      <family val="1"/>
      <charset val="204"/>
    </font>
    <font>
      <b/>
      <sz val="12"/>
      <color theme="0"/>
      <name val="Calibri"/>
      <family val="2"/>
      <charset val="204"/>
      <scheme val="minor"/>
    </font>
  </fonts>
  <fills count="58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14999847407452621"/>
        <bgColor indexed="64"/>
      </patternFill>
    </fill>
  </fills>
  <borders count="15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hair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indexed="8"/>
      </right>
      <top style="medium">
        <color indexed="64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hair">
        <color indexed="64"/>
      </left>
      <right/>
      <top style="thin">
        <color indexed="8"/>
      </top>
      <bottom/>
      <diagonal/>
    </border>
    <border>
      <left style="hair">
        <color indexed="64"/>
      </left>
      <right style="thin">
        <color indexed="8"/>
      </right>
      <top style="thin">
        <color indexed="8"/>
      </top>
      <bottom/>
      <diagonal/>
    </border>
  </borders>
  <cellStyleXfs count="277">
    <xf numFmtId="0" fontId="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21" fillId="0" borderId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9" borderId="0" applyNumberFormat="0" applyBorder="0" applyAlignment="0" applyProtection="0"/>
    <xf numFmtId="0" fontId="28" fillId="18" borderId="0" applyNumberFormat="0" applyBorder="0" applyAlignment="0" applyProtection="0"/>
    <xf numFmtId="0" fontId="28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15" borderId="0" applyNumberFormat="0" applyBorder="0" applyAlignment="0" applyProtection="0"/>
    <xf numFmtId="0" fontId="29" fillId="22" borderId="0" applyNumberFormat="0" applyBorder="0" applyAlignment="0" applyProtection="0"/>
    <xf numFmtId="0" fontId="29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1" fillId="30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7" borderId="0" applyNumberFormat="0" applyBorder="0" applyAlignment="0" applyProtection="0"/>
    <xf numFmtId="0" fontId="32" fillId="7" borderId="0" applyNumberFormat="0" applyBorder="0" applyAlignment="0" applyProtection="0"/>
    <xf numFmtId="0" fontId="33" fillId="38" borderId="19" applyNumberFormat="0" applyAlignment="0" applyProtection="0"/>
    <xf numFmtId="0" fontId="34" fillId="39" borderId="20" applyNumberFormat="0" applyAlignment="0" applyProtection="0"/>
    <xf numFmtId="0" fontId="35" fillId="0" borderId="0" applyNumberFormat="0" applyFill="0" applyBorder="0" applyAlignment="0" applyProtection="0"/>
    <xf numFmtId="0" fontId="36" fillId="8" borderId="0" applyNumberFormat="0" applyBorder="0" applyAlignment="0" applyProtection="0"/>
    <xf numFmtId="0" fontId="37" fillId="0" borderId="21" applyNumberFormat="0" applyFill="0" applyAlignment="0" applyProtection="0"/>
    <xf numFmtId="0" fontId="38" fillId="0" borderId="22" applyNumberFormat="0" applyFill="0" applyAlignment="0" applyProtection="0"/>
    <xf numFmtId="0" fontId="39" fillId="0" borderId="23" applyNumberFormat="0" applyFill="0" applyAlignment="0" applyProtection="0"/>
    <xf numFmtId="0" fontId="39" fillId="0" borderId="0" applyNumberFormat="0" applyFill="0" applyBorder="0" applyAlignment="0" applyProtection="0"/>
    <xf numFmtId="0" fontId="40" fillId="11" borderId="19" applyNumberFormat="0" applyAlignment="0" applyProtection="0"/>
    <xf numFmtId="0" fontId="41" fillId="0" borderId="24" applyNumberFormat="0" applyFill="0" applyAlignment="0" applyProtection="0"/>
    <xf numFmtId="0" fontId="42" fillId="40" borderId="0" applyNumberFormat="0" applyBorder="0" applyAlignment="0" applyProtection="0"/>
    <xf numFmtId="0" fontId="43" fillId="41" borderId="25" applyNumberFormat="0" applyFont="0" applyAlignment="0" applyProtection="0"/>
    <xf numFmtId="0" fontId="44" fillId="38" borderId="26" applyNumberFormat="0" applyAlignment="0" applyProtection="0"/>
    <xf numFmtId="0" fontId="45" fillId="0" borderId="0" applyNumberFormat="0" applyFill="0" applyBorder="0" applyAlignment="0" applyProtection="0"/>
    <xf numFmtId="0" fontId="46" fillId="0" borderId="27" applyNumberFormat="0" applyFill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4" fillId="0" borderId="0"/>
    <xf numFmtId="0" fontId="55" fillId="0" borderId="0"/>
    <xf numFmtId="0" fontId="56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58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0" fillId="14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13" borderId="0" applyNumberFormat="0" applyBorder="0" applyAlignment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43" fillId="0" borderId="0">
      <alignment vertical="center"/>
    </xf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45" borderId="0" applyNumberFormat="0" applyBorder="0" applyAlignment="0" applyProtection="0"/>
    <xf numFmtId="0" fontId="62" fillId="0" borderId="0" applyNumberFormat="0" applyFill="0" applyBorder="0" applyAlignment="0" applyProtection="0"/>
    <xf numFmtId="0" fontId="63" fillId="0" borderId="21" applyNumberFormat="0" applyFill="0" applyAlignment="0" applyProtection="0"/>
    <xf numFmtId="0" fontId="64" fillId="0" borderId="22" applyNumberFormat="0" applyFill="0" applyAlignment="0" applyProtection="0"/>
    <xf numFmtId="0" fontId="65" fillId="0" borderId="23" applyNumberFormat="0" applyFill="0" applyAlignment="0" applyProtection="0"/>
    <xf numFmtId="0" fontId="65" fillId="0" borderId="0" applyNumberFormat="0" applyFill="0" applyBorder="0" applyAlignment="0" applyProtection="0"/>
    <xf numFmtId="0" fontId="66" fillId="46" borderId="20" applyNumberFormat="0" applyAlignment="0" applyProtection="0"/>
    <xf numFmtId="0" fontId="67" fillId="0" borderId="27" applyNumberFormat="0" applyFill="0" applyAlignment="0" applyProtection="0"/>
    <xf numFmtId="0" fontId="43" fillId="47" borderId="25" applyNumberFormat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2" borderId="19" applyNumberFormat="0" applyAlignment="0" applyProtection="0"/>
    <xf numFmtId="0" fontId="71" fillId="17" borderId="19" applyNumberFormat="0" applyAlignment="0" applyProtection="0"/>
    <xf numFmtId="0" fontId="72" fillId="2" borderId="26" applyNumberFormat="0" applyAlignment="0" applyProtection="0"/>
    <xf numFmtId="0" fontId="73" fillId="48" borderId="0" applyNumberFormat="0" applyBorder="0" applyAlignment="0" applyProtection="0"/>
    <xf numFmtId="0" fontId="74" fillId="0" borderId="24" applyNumberFormat="0" applyFill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775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right" vertical="center" wrapText="1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 vertical="center" wrapText="1"/>
    </xf>
    <xf numFmtId="0" fontId="4" fillId="0" borderId="0" xfId="0" applyFont="1" applyBorder="1" applyAlignment="1">
      <alignment horizontal="right" vertical="center" wrapText="1"/>
    </xf>
    <xf numFmtId="0" fontId="5" fillId="0" borderId="0" xfId="0" applyFont="1" applyBorder="1" applyAlignment="1">
      <alignment horizontal="right" vertical="center" wrapText="1"/>
    </xf>
    <xf numFmtId="0" fontId="7" fillId="0" borderId="0" xfId="3" applyNumberFormat="1" applyFont="1" applyFill="1" applyBorder="1" applyAlignment="1" applyProtection="1"/>
    <xf numFmtId="0" fontId="0" fillId="0" borderId="0" xfId="0" applyAlignment="1">
      <alignment wrapText="1"/>
    </xf>
    <xf numFmtId="0" fontId="4" fillId="0" borderId="0" xfId="0" applyFont="1"/>
    <xf numFmtId="0" fontId="18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2" fillId="0" borderId="0" xfId="0" applyFont="1"/>
    <xf numFmtId="9" fontId="0" fillId="0" borderId="0" xfId="1" applyFont="1" applyAlignment="1">
      <alignment horizontal="right" vertical="center" wrapText="1"/>
    </xf>
    <xf numFmtId="9" fontId="3" fillId="0" borderId="0" xfId="1" applyFont="1" applyAlignment="1">
      <alignment horizontal="right" vertical="center" wrapText="1"/>
    </xf>
    <xf numFmtId="9" fontId="0" fillId="0" borderId="0" xfId="1" applyFont="1"/>
    <xf numFmtId="0" fontId="22" fillId="0" borderId="0" xfId="4" applyFont="1"/>
    <xf numFmtId="0" fontId="21" fillId="0" borderId="0" xfId="4"/>
    <xf numFmtId="0" fontId="23" fillId="0" borderId="0" xfId="4" applyFont="1" applyAlignment="1">
      <alignment horizontal="right"/>
    </xf>
    <xf numFmtId="0" fontId="23" fillId="0" borderId="0" xfId="4" applyFont="1"/>
    <xf numFmtId="0" fontId="24" fillId="0" borderId="0" xfId="4" applyFont="1" applyAlignment="1">
      <alignment horizontal="center" vertical="center"/>
    </xf>
    <xf numFmtId="0" fontId="25" fillId="0" borderId="0" xfId="4" applyFont="1"/>
    <xf numFmtId="0" fontId="25" fillId="0" borderId="2" xfId="4" applyFont="1" applyBorder="1"/>
    <xf numFmtId="0" fontId="26" fillId="0" borderId="2" xfId="4" applyFont="1" applyBorder="1" applyAlignment="1">
      <alignment vertical="center"/>
    </xf>
    <xf numFmtId="0" fontId="27" fillId="0" borderId="0" xfId="4" applyFont="1" applyAlignment="1">
      <alignment horizontal="right"/>
    </xf>
    <xf numFmtId="0" fontId="26" fillId="0" borderId="0" xfId="4" applyFont="1" applyAlignment="1">
      <alignment vertical="center"/>
    </xf>
    <xf numFmtId="0" fontId="26" fillId="0" borderId="18" xfId="4" applyFont="1" applyBorder="1" applyAlignment="1">
      <alignment vertical="center"/>
    </xf>
    <xf numFmtId="0" fontId="21" fillId="0" borderId="0" xfId="4" applyAlignment="1">
      <alignment horizontal="center"/>
    </xf>
    <xf numFmtId="0" fontId="76" fillId="0" borderId="0" xfId="4" applyNumberFormat="1" applyFont="1" applyFill="1" applyBorder="1" applyAlignment="1" applyProtection="1">
      <alignment horizontal="left"/>
    </xf>
    <xf numFmtId="0" fontId="76" fillId="0" borderId="0" xfId="4" applyNumberFormat="1" applyFont="1" applyFill="1" applyBorder="1" applyAlignment="1" applyProtection="1"/>
    <xf numFmtId="0" fontId="21" fillId="0" borderId="0" xfId="4" applyAlignment="1">
      <alignment horizontal="right"/>
    </xf>
    <xf numFmtId="0" fontId="21" fillId="0" borderId="0" xfId="4" applyAlignment="1">
      <alignment horizontal="right" vertical="center" wrapText="1"/>
    </xf>
    <xf numFmtId="0" fontId="2" fillId="0" borderId="0" xfId="4" applyFont="1" applyAlignment="1">
      <alignment horizontal="right"/>
    </xf>
    <xf numFmtId="0" fontId="3" fillId="0" borderId="0" xfId="4" applyFont="1" applyAlignment="1">
      <alignment horizontal="right" vertical="center" wrapText="1"/>
    </xf>
    <xf numFmtId="0" fontId="4" fillId="0" borderId="0" xfId="4" applyFont="1" applyBorder="1" applyAlignment="1">
      <alignment horizontal="right" vertical="center" wrapText="1"/>
    </xf>
    <xf numFmtId="0" fontId="5" fillId="0" borderId="0" xfId="4" applyFont="1" applyBorder="1" applyAlignment="1">
      <alignment horizontal="right" vertical="center" wrapText="1"/>
    </xf>
    <xf numFmtId="0" fontId="9" fillId="2" borderId="1" xfId="4" applyNumberFormat="1" applyFont="1" applyFill="1" applyBorder="1" applyAlignment="1">
      <alignment horizontal="center" vertical="center" wrapText="1"/>
    </xf>
    <xf numFmtId="0" fontId="21" fillId="0" borderId="0" xfId="4" applyAlignment="1">
      <alignment wrapText="1"/>
    </xf>
    <xf numFmtId="167" fontId="15" fillId="3" borderId="4" xfId="4" applyNumberFormat="1" applyFont="1" applyFill="1" applyBorder="1" applyAlignment="1">
      <alignment horizontal="center" vertical="center"/>
    </xf>
    <xf numFmtId="41" fontId="15" fillId="3" borderId="4" xfId="4" applyNumberFormat="1" applyFont="1" applyFill="1" applyBorder="1" applyAlignment="1">
      <alignment horizontal="center" vertical="center" wrapText="1"/>
    </xf>
    <xf numFmtId="41" fontId="17" fillId="3" borderId="4" xfId="4" applyNumberFormat="1" applyFont="1" applyFill="1" applyBorder="1" applyAlignment="1">
      <alignment horizontal="center" vertical="center" wrapText="1"/>
    </xf>
    <xf numFmtId="167" fontId="15" fillId="0" borderId="4" xfId="4" applyNumberFormat="1" applyFont="1" applyBorder="1" applyAlignment="1">
      <alignment horizontal="center" vertical="center"/>
    </xf>
    <xf numFmtId="41" fontId="15" fillId="0" borderId="4" xfId="4" applyNumberFormat="1" applyFont="1" applyBorder="1" applyAlignment="1">
      <alignment horizontal="center" vertical="center" wrapText="1"/>
    </xf>
    <xf numFmtId="41" fontId="17" fillId="0" borderId="4" xfId="4" applyNumberFormat="1" applyFont="1" applyBorder="1" applyAlignment="1">
      <alignment horizontal="center" vertical="center" wrapText="1"/>
    </xf>
    <xf numFmtId="167" fontId="15" fillId="0" borderId="6" xfId="4" applyNumberFormat="1" applyFont="1" applyBorder="1" applyAlignment="1">
      <alignment horizontal="center" vertical="center"/>
    </xf>
    <xf numFmtId="41" fontId="15" fillId="0" borderId="6" xfId="4" applyNumberFormat="1" applyFont="1" applyBorder="1" applyAlignment="1">
      <alignment horizontal="center" vertical="center" wrapText="1"/>
    </xf>
    <xf numFmtId="41" fontId="17" fillId="0" borderId="6" xfId="4" applyNumberFormat="1" applyFont="1" applyBorder="1" applyAlignment="1">
      <alignment horizontal="center" vertical="center" wrapText="1"/>
    </xf>
    <xf numFmtId="0" fontId="4" fillId="0" borderId="0" xfId="4" applyFont="1"/>
    <xf numFmtId="0" fontId="5" fillId="0" borderId="0" xfId="4" applyFont="1"/>
    <xf numFmtId="0" fontId="18" fillId="0" borderId="0" xfId="4" applyFont="1" applyBorder="1" applyAlignment="1">
      <alignment horizontal="left" vertical="center"/>
    </xf>
    <xf numFmtId="0" fontId="19" fillId="0" borderId="0" xfId="4" applyFont="1" applyBorder="1" applyAlignment="1">
      <alignment horizontal="left" vertical="center"/>
    </xf>
    <xf numFmtId="0" fontId="19" fillId="0" borderId="0" xfId="4" applyFont="1"/>
    <xf numFmtId="0" fontId="20" fillId="0" borderId="0" xfId="4" applyFont="1"/>
    <xf numFmtId="0" fontId="2" fillId="0" borderId="0" xfId="4" applyFont="1"/>
    <xf numFmtId="167" fontId="15" fillId="0" borderId="11" xfId="4" applyNumberFormat="1" applyFont="1" applyBorder="1" applyAlignment="1">
      <alignment horizontal="center" vertical="center"/>
    </xf>
    <xf numFmtId="167" fontId="15" fillId="3" borderId="11" xfId="4" applyNumberFormat="1" applyFont="1" applyFill="1" applyBorder="1" applyAlignment="1">
      <alignment horizontal="center" vertical="center"/>
    </xf>
    <xf numFmtId="167" fontId="15" fillId="0" borderId="9" xfId="4" applyNumberFormat="1" applyFont="1" applyBorder="1" applyAlignment="1">
      <alignment horizontal="center" vertical="center"/>
    </xf>
    <xf numFmtId="167" fontId="15" fillId="3" borderId="9" xfId="4" applyNumberFormat="1" applyFont="1" applyFill="1" applyBorder="1" applyAlignment="1">
      <alignment horizontal="center" vertical="center"/>
    </xf>
    <xf numFmtId="41" fontId="15" fillId="0" borderId="11" xfId="4" applyNumberFormat="1" applyFont="1" applyBorder="1" applyAlignment="1">
      <alignment horizontal="center" vertical="center" wrapText="1"/>
    </xf>
    <xf numFmtId="41" fontId="15" fillId="3" borderId="11" xfId="4" applyNumberFormat="1" applyFont="1" applyFill="1" applyBorder="1" applyAlignment="1">
      <alignment horizontal="center" vertical="center" wrapText="1"/>
    </xf>
    <xf numFmtId="0" fontId="21" fillId="0" borderId="0" xfId="4" applyFont="1" applyAlignment="1">
      <alignment horizontal="right"/>
    </xf>
    <xf numFmtId="0" fontId="21" fillId="0" borderId="0" xfId="4" applyAlignment="1">
      <alignment horizontal="center" vertical="center" wrapText="1"/>
    </xf>
    <xf numFmtId="167" fontId="16" fillId="5" borderId="4" xfId="4" applyNumberFormat="1" applyFont="1" applyFill="1" applyBorder="1" applyAlignment="1">
      <alignment horizontal="center" vertical="center"/>
    </xf>
    <xf numFmtId="167" fontId="16" fillId="4" borderId="4" xfId="4" applyNumberFormat="1" applyFont="1" applyFill="1" applyBorder="1" applyAlignment="1">
      <alignment horizontal="center" vertical="center"/>
    </xf>
    <xf numFmtId="167" fontId="15" fillId="3" borderId="4" xfId="4" applyNumberFormat="1" applyFont="1" applyFill="1" applyBorder="1" applyAlignment="1">
      <alignment horizontal="center" vertical="center" wrapText="1"/>
    </xf>
    <xf numFmtId="167" fontId="15" fillId="0" borderId="4" xfId="4" applyNumberFormat="1" applyFont="1" applyBorder="1" applyAlignment="1">
      <alignment horizontal="center" vertical="center" wrapText="1"/>
    </xf>
    <xf numFmtId="0" fontId="21" fillId="0" borderId="0" xfId="4" applyFont="1"/>
    <xf numFmtId="167" fontId="15" fillId="3" borderId="28" xfId="4" applyNumberFormat="1" applyFont="1" applyFill="1" applyBorder="1" applyAlignment="1">
      <alignment horizontal="center" vertical="center"/>
    </xf>
    <xf numFmtId="167" fontId="15" fillId="0" borderId="28" xfId="4" applyNumberFormat="1" applyFont="1" applyBorder="1" applyAlignment="1">
      <alignment horizontal="center" vertical="center"/>
    </xf>
    <xf numFmtId="0" fontId="79" fillId="0" borderId="0" xfId="4" applyFont="1"/>
    <xf numFmtId="0" fontId="21" fillId="0" borderId="30" xfId="4" applyBorder="1" applyAlignment="1">
      <alignment horizontal="left" vertical="top" wrapText="1"/>
    </xf>
    <xf numFmtId="167" fontId="81" fillId="3" borderId="1" xfId="0" applyNumberFormat="1" applyFont="1" applyFill="1" applyBorder="1" applyAlignment="1">
      <alignment horizontal="center" vertical="center"/>
    </xf>
    <xf numFmtId="167" fontId="81" fillId="0" borderId="4" xfId="0" applyNumberFormat="1" applyFont="1" applyBorder="1" applyAlignment="1">
      <alignment horizontal="center" vertical="center"/>
    </xf>
    <xf numFmtId="167" fontId="81" fillId="3" borderId="4" xfId="0" applyNumberFormat="1" applyFont="1" applyFill="1" applyBorder="1" applyAlignment="1">
      <alignment horizontal="center" vertical="center"/>
    </xf>
    <xf numFmtId="167" fontId="81" fillId="0" borderId="6" xfId="0" applyNumberFormat="1" applyFont="1" applyBorder="1" applyAlignment="1">
      <alignment horizontal="center" vertical="center"/>
    </xf>
    <xf numFmtId="167" fontId="81" fillId="3" borderId="7" xfId="0" applyNumberFormat="1" applyFont="1" applyFill="1" applyBorder="1" applyAlignment="1">
      <alignment horizontal="center" vertical="center"/>
    </xf>
    <xf numFmtId="0" fontId="21" fillId="0" borderId="0" xfId="4" applyAlignment="1">
      <alignment vertical="center"/>
    </xf>
    <xf numFmtId="0" fontId="21" fillId="0" borderId="0" xfId="4" applyAlignment="1">
      <alignment vertical="center" wrapText="1"/>
    </xf>
    <xf numFmtId="0" fontId="4" fillId="0" borderId="0" xfId="4" applyFont="1" applyAlignment="1">
      <alignment vertical="center"/>
    </xf>
    <xf numFmtId="167" fontId="15" fillId="3" borderId="42" xfId="4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right" vertical="center" wrapText="1"/>
    </xf>
    <xf numFmtId="0" fontId="82" fillId="50" borderId="0" xfId="0" applyFont="1" applyFill="1"/>
    <xf numFmtId="0" fontId="82" fillId="0" borderId="0" xfId="0" applyFont="1"/>
    <xf numFmtId="41" fontId="15" fillId="3" borderId="43" xfId="4" applyNumberFormat="1" applyFont="1" applyFill="1" applyBorder="1" applyAlignment="1">
      <alignment horizontal="center" vertical="center" wrapText="1"/>
    </xf>
    <xf numFmtId="41" fontId="17" fillId="3" borderId="43" xfId="4" applyNumberFormat="1" applyFont="1" applyFill="1" applyBorder="1" applyAlignment="1">
      <alignment horizontal="center" vertical="center" wrapText="1"/>
    </xf>
    <xf numFmtId="41" fontId="15" fillId="3" borderId="44" xfId="4" applyNumberFormat="1" applyFont="1" applyFill="1" applyBorder="1" applyAlignment="1">
      <alignment horizontal="center" vertical="center" wrapText="1"/>
    </xf>
    <xf numFmtId="41" fontId="16" fillId="4" borderId="43" xfId="4" applyNumberFormat="1" applyFont="1" applyFill="1" applyBorder="1" applyAlignment="1">
      <alignment horizontal="center" vertical="center"/>
    </xf>
    <xf numFmtId="167" fontId="15" fillId="3" borderId="48" xfId="4" applyNumberFormat="1" applyFont="1" applyFill="1" applyBorder="1" applyAlignment="1">
      <alignment horizontal="center" vertical="center"/>
    </xf>
    <xf numFmtId="41" fontId="15" fillId="3" borderId="6" xfId="4" applyNumberFormat="1" applyFont="1" applyFill="1" applyBorder="1" applyAlignment="1">
      <alignment horizontal="center" vertical="center" wrapText="1"/>
    </xf>
    <xf numFmtId="41" fontId="17" fillId="3" borderId="6" xfId="4" applyNumberFormat="1" applyFont="1" applyFill="1" applyBorder="1" applyAlignment="1">
      <alignment horizontal="center" vertical="center" wrapText="1"/>
    </xf>
    <xf numFmtId="41" fontId="15" fillId="3" borderId="48" xfId="4" applyNumberFormat="1" applyFont="1" applyFill="1" applyBorder="1" applyAlignment="1">
      <alignment horizontal="center" vertical="center" wrapText="1"/>
    </xf>
    <xf numFmtId="167" fontId="15" fillId="3" borderId="51" xfId="4" applyNumberFormat="1" applyFont="1" applyFill="1" applyBorder="1" applyAlignment="1">
      <alignment horizontal="center" vertical="center"/>
    </xf>
    <xf numFmtId="41" fontId="15" fillId="3" borderId="52" xfId="4" applyNumberFormat="1" applyFont="1" applyFill="1" applyBorder="1" applyAlignment="1">
      <alignment horizontal="center" vertical="center" wrapText="1"/>
    </xf>
    <xf numFmtId="41" fontId="17" fillId="3" borderId="52" xfId="4" applyNumberFormat="1" applyFont="1" applyFill="1" applyBorder="1" applyAlignment="1">
      <alignment horizontal="center" vertical="center" wrapText="1"/>
    </xf>
    <xf numFmtId="41" fontId="15" fillId="3" borderId="53" xfId="4" applyNumberFormat="1" applyFont="1" applyFill="1" applyBorder="1" applyAlignment="1">
      <alignment horizontal="center" vertical="center" wrapText="1"/>
    </xf>
    <xf numFmtId="167" fontId="15" fillId="3" borderId="12" xfId="4" applyNumberFormat="1" applyFont="1" applyFill="1" applyBorder="1" applyAlignment="1">
      <alignment horizontal="center" vertical="center"/>
    </xf>
    <xf numFmtId="41" fontId="16" fillId="4" borderId="52" xfId="4" applyNumberFormat="1" applyFont="1" applyFill="1" applyBorder="1" applyAlignment="1">
      <alignment horizontal="center" vertical="center"/>
    </xf>
    <xf numFmtId="167" fontId="15" fillId="3" borderId="44" xfId="4" applyNumberFormat="1" applyFont="1" applyFill="1" applyBorder="1" applyAlignment="1">
      <alignment horizontal="center" vertical="center"/>
    </xf>
    <xf numFmtId="0" fontId="83" fillId="0" borderId="0" xfId="85" applyFont="1" applyAlignment="1">
      <alignment wrapText="1"/>
    </xf>
    <xf numFmtId="0" fontId="56" fillId="0" borderId="0" xfId="85"/>
    <xf numFmtId="164" fontId="84" fillId="0" borderId="57" xfId="85" applyNumberFormat="1" applyFont="1" applyFill="1" applyBorder="1" applyAlignment="1">
      <alignment horizontal="center" vertical="center" wrapText="1"/>
    </xf>
    <xf numFmtId="0" fontId="14" fillId="0" borderId="0" xfId="4" applyFont="1" applyBorder="1" applyAlignment="1">
      <alignment horizontal="left" vertical="center" wrapText="1"/>
    </xf>
    <xf numFmtId="0" fontId="14" fillId="0" borderId="45" xfId="4" applyFont="1" applyBorder="1" applyAlignment="1">
      <alignment horizontal="left" vertical="center" wrapText="1"/>
    </xf>
    <xf numFmtId="0" fontId="14" fillId="0" borderId="0" xfId="4" applyFont="1" applyBorder="1" applyAlignment="1">
      <alignment horizontal="center" vertical="center" wrapText="1"/>
    </xf>
    <xf numFmtId="167" fontId="81" fillId="3" borderId="58" xfId="4" applyNumberFormat="1" applyFont="1" applyFill="1" applyBorder="1" applyAlignment="1">
      <alignment horizontal="center" vertical="center"/>
    </xf>
    <xf numFmtId="168" fontId="81" fillId="3" borderId="58" xfId="275" applyNumberFormat="1" applyFont="1" applyFill="1" applyBorder="1" applyAlignment="1">
      <alignment horizontal="center" vertical="center"/>
    </xf>
    <xf numFmtId="168" fontId="81" fillId="3" borderId="61" xfId="275" applyNumberFormat="1" applyFont="1" applyFill="1" applyBorder="1" applyAlignment="1">
      <alignment horizontal="center" vertical="center"/>
    </xf>
    <xf numFmtId="168" fontId="81" fillId="3" borderId="62" xfId="275" applyNumberFormat="1" applyFont="1" applyFill="1" applyBorder="1" applyAlignment="1">
      <alignment horizontal="center" vertical="center"/>
    </xf>
    <xf numFmtId="0" fontId="9" fillId="2" borderId="63" xfId="4" applyNumberFormat="1" applyFont="1" applyFill="1" applyBorder="1" applyAlignment="1">
      <alignment horizontal="center" vertical="center" wrapText="1"/>
    </xf>
    <xf numFmtId="0" fontId="9" fillId="2" borderId="64" xfId="4" applyNumberFormat="1" applyFont="1" applyFill="1" applyBorder="1" applyAlignment="1">
      <alignment horizontal="center" vertical="center" wrapText="1"/>
    </xf>
    <xf numFmtId="0" fontId="9" fillId="2" borderId="65" xfId="4" applyNumberFormat="1" applyFont="1" applyFill="1" applyBorder="1" applyAlignment="1">
      <alignment horizontal="center" vertical="center" wrapText="1"/>
    </xf>
    <xf numFmtId="169" fontId="81" fillId="3" borderId="60" xfId="275" applyNumberFormat="1" applyFont="1" applyFill="1" applyBorder="1" applyAlignment="1">
      <alignment horizontal="center" vertical="center"/>
    </xf>
    <xf numFmtId="167" fontId="81" fillId="0" borderId="58" xfId="4" applyNumberFormat="1" applyFont="1" applyBorder="1" applyAlignment="1">
      <alignment horizontal="center" vertical="center"/>
    </xf>
    <xf numFmtId="167" fontId="81" fillId="0" borderId="66" xfId="4" applyNumberFormat="1" applyFont="1" applyBorder="1" applyAlignment="1">
      <alignment horizontal="center" vertical="center"/>
    </xf>
    <xf numFmtId="167" fontId="81" fillId="3" borderId="35" xfId="4" applyNumberFormat="1" applyFont="1" applyFill="1" applyBorder="1" applyAlignment="1">
      <alignment horizontal="center" vertical="center"/>
    </xf>
    <xf numFmtId="167" fontId="81" fillId="0" borderId="58" xfId="0" applyNumberFormat="1" applyFont="1" applyBorder="1" applyAlignment="1">
      <alignment horizontal="center" vertical="center"/>
    </xf>
    <xf numFmtId="167" fontId="81" fillId="3" borderId="58" xfId="0" applyNumberFormat="1" applyFont="1" applyFill="1" applyBorder="1" applyAlignment="1">
      <alignment horizontal="center" vertical="center"/>
    </xf>
    <xf numFmtId="167" fontId="81" fillId="0" borderId="66" xfId="0" applyNumberFormat="1" applyFont="1" applyBorder="1" applyAlignment="1">
      <alignment horizontal="center" vertical="center"/>
    </xf>
    <xf numFmtId="167" fontId="81" fillId="3" borderId="35" xfId="0" applyNumberFormat="1" applyFont="1" applyFill="1" applyBorder="1" applyAlignment="1">
      <alignment horizontal="center" vertical="center"/>
    </xf>
    <xf numFmtId="0" fontId="87" fillId="0" borderId="0" xfId="4" applyFont="1"/>
    <xf numFmtId="0" fontId="4" fillId="0" borderId="0" xfId="4" applyFont="1" applyBorder="1"/>
    <xf numFmtId="41" fontId="15" fillId="3" borderId="28" xfId="4" applyNumberFormat="1" applyFont="1" applyFill="1" applyBorder="1" applyAlignment="1">
      <alignment horizontal="center" vertical="center" wrapText="1"/>
    </xf>
    <xf numFmtId="41" fontId="15" fillId="0" borderId="28" xfId="4" applyNumberFormat="1" applyFont="1" applyBorder="1" applyAlignment="1">
      <alignment horizontal="center" vertical="center" wrapText="1"/>
    </xf>
    <xf numFmtId="167" fontId="15" fillId="3" borderId="46" xfId="4" applyNumberFormat="1" applyFont="1" applyFill="1" applyBorder="1" applyAlignment="1">
      <alignment horizontal="center" vertical="center"/>
    </xf>
    <xf numFmtId="167" fontId="15" fillId="3" borderId="69" xfId="4" applyNumberFormat="1" applyFont="1" applyFill="1" applyBorder="1" applyAlignment="1">
      <alignment horizontal="center" vertical="center"/>
    </xf>
    <xf numFmtId="0" fontId="86" fillId="0" borderId="0" xfId="4" applyFont="1"/>
    <xf numFmtId="167" fontId="15" fillId="3" borderId="57" xfId="4" applyNumberFormat="1" applyFont="1" applyFill="1" applyBorder="1" applyAlignment="1">
      <alignment horizontal="center" vertical="center"/>
    </xf>
    <xf numFmtId="9" fontId="15" fillId="3" borderId="57" xfId="1" applyFont="1" applyFill="1" applyBorder="1" applyAlignment="1">
      <alignment horizontal="center" vertical="center"/>
    </xf>
    <xf numFmtId="167" fontId="15" fillId="0" borderId="57" xfId="4" applyNumberFormat="1" applyFont="1" applyBorder="1" applyAlignment="1">
      <alignment horizontal="center" vertical="center"/>
    </xf>
    <xf numFmtId="9" fontId="15" fillId="0" borderId="57" xfId="1" applyFont="1" applyBorder="1" applyAlignment="1">
      <alignment horizontal="center" vertical="center"/>
    </xf>
    <xf numFmtId="167" fontId="15" fillId="3" borderId="51" xfId="0" applyNumberFormat="1" applyFont="1" applyFill="1" applyBorder="1" applyAlignment="1">
      <alignment horizontal="center" vertical="center"/>
    </xf>
    <xf numFmtId="0" fontId="21" fillId="0" borderId="0" xfId="4" applyFill="1"/>
    <xf numFmtId="0" fontId="27" fillId="0" borderId="0" xfId="4" applyFont="1" applyAlignment="1">
      <alignment horizontal="left"/>
    </xf>
    <xf numFmtId="0" fontId="24" fillId="0" borderId="0" xfId="4" applyFont="1" applyFill="1" applyAlignment="1">
      <alignment horizontal="center" vertical="center"/>
    </xf>
    <xf numFmtId="0" fontId="25" fillId="0" borderId="2" xfId="4" applyFont="1" applyFill="1" applyBorder="1"/>
    <xf numFmtId="0" fontId="27" fillId="0" borderId="0" xfId="4" applyFont="1" applyFill="1" applyAlignment="1">
      <alignment horizontal="right"/>
    </xf>
    <xf numFmtId="0" fontId="27" fillId="0" borderId="18" xfId="4" applyFont="1" applyFill="1" applyBorder="1" applyAlignment="1">
      <alignment horizontal="right"/>
    </xf>
    <xf numFmtId="0" fontId="21" fillId="0" borderId="31" xfId="4" applyBorder="1" applyAlignment="1">
      <alignment horizontal="left" vertical="top" wrapText="1"/>
    </xf>
    <xf numFmtId="0" fontId="14" fillId="0" borderId="34" xfId="4" applyFont="1" applyBorder="1" applyAlignment="1">
      <alignment horizontal="left" vertical="center" wrapText="1"/>
    </xf>
    <xf numFmtId="0" fontId="21" fillId="0" borderId="0" xfId="4" applyBorder="1" applyAlignment="1">
      <alignment horizontal="left" vertical="top" wrapText="1"/>
    </xf>
    <xf numFmtId="0" fontId="21" fillId="0" borderId="57" xfId="4" applyBorder="1" applyAlignment="1">
      <alignment horizontal="left" vertical="top" wrapText="1"/>
    </xf>
    <xf numFmtId="0" fontId="14" fillId="0" borderId="57" xfId="4" applyFont="1" applyBorder="1" applyAlignment="1">
      <alignment horizontal="center" vertical="center" wrapText="1"/>
    </xf>
    <xf numFmtId="0" fontId="21" fillId="0" borderId="0" xfId="4" applyAlignment="1">
      <alignment horizontal="right" textRotation="90"/>
    </xf>
    <xf numFmtId="0" fontId="21" fillId="0" borderId="0" xfId="4" applyAlignment="1">
      <alignment textRotation="90"/>
    </xf>
    <xf numFmtId="0" fontId="21" fillId="0" borderId="0" xfId="4" applyFont="1" applyBorder="1" applyAlignment="1">
      <alignment horizontal="left" vertical="top" wrapText="1"/>
    </xf>
    <xf numFmtId="0" fontId="93" fillId="0" borderId="0" xfId="4" applyFont="1" applyAlignment="1">
      <alignment horizontal="right"/>
    </xf>
    <xf numFmtId="0" fontId="94" fillId="0" borderId="0" xfId="4" applyFont="1" applyBorder="1" applyAlignment="1">
      <alignment horizontal="right" vertical="center" wrapText="1"/>
    </xf>
    <xf numFmtId="0" fontId="93" fillId="0" borderId="0" xfId="4" applyFont="1"/>
    <xf numFmtId="0" fontId="100" fillId="0" borderId="0" xfId="85" applyFont="1"/>
    <xf numFmtId="0" fontId="81" fillId="0" borderId="0" xfId="4" applyFont="1" applyBorder="1" applyAlignment="1">
      <alignment horizontal="left" vertical="center" wrapText="1"/>
    </xf>
    <xf numFmtId="0" fontId="56" fillId="0" borderId="0" xfId="85" applyFont="1"/>
    <xf numFmtId="1" fontId="78" fillId="2" borderId="57" xfId="4" applyNumberFormat="1" applyFont="1" applyFill="1" applyBorder="1" applyAlignment="1">
      <alignment vertical="center" wrapText="1"/>
    </xf>
    <xf numFmtId="168" fontId="81" fillId="3" borderId="79" xfId="275" applyNumberFormat="1" applyFont="1" applyFill="1" applyBorder="1" applyAlignment="1">
      <alignment horizontal="center" vertical="center" wrapText="1"/>
    </xf>
    <xf numFmtId="168" fontId="81" fillId="3" borderId="80" xfId="275" applyNumberFormat="1" applyFont="1" applyFill="1" applyBorder="1" applyAlignment="1">
      <alignment horizontal="center" vertical="center"/>
    </xf>
    <xf numFmtId="169" fontId="81" fillId="3" borderId="81" xfId="275" applyNumberFormat="1" applyFont="1" applyFill="1" applyBorder="1" applyAlignment="1">
      <alignment horizontal="center" vertical="center"/>
    </xf>
    <xf numFmtId="167" fontId="16" fillId="4" borderId="82" xfId="4" applyNumberFormat="1" applyFont="1" applyFill="1" applyBorder="1" applyAlignment="1">
      <alignment horizontal="center" vertical="center"/>
    </xf>
    <xf numFmtId="0" fontId="21" fillId="0" borderId="57" xfId="4" applyFont="1" applyBorder="1" applyAlignment="1">
      <alignment horizontal="left" vertical="top" wrapText="1"/>
    </xf>
    <xf numFmtId="14" fontId="89" fillId="0" borderId="0" xfId="4" applyNumberFormat="1" applyFont="1" applyAlignment="1">
      <alignment horizontal="left"/>
    </xf>
    <xf numFmtId="0" fontId="21" fillId="3" borderId="29" xfId="4" applyFill="1" applyBorder="1"/>
    <xf numFmtId="0" fontId="21" fillId="0" borderId="67" xfId="4" applyBorder="1" applyAlignment="1">
      <alignment vertical="center" wrapText="1"/>
    </xf>
    <xf numFmtId="0" fontId="0" fillId="0" borderId="57" xfId="0" applyBorder="1"/>
    <xf numFmtId="0" fontId="12" fillId="0" borderId="57" xfId="4" applyFont="1" applyBorder="1"/>
    <xf numFmtId="9" fontId="12" fillId="3" borderId="57" xfId="1" applyNumberFormat="1" applyFont="1" applyFill="1" applyBorder="1"/>
    <xf numFmtId="9" fontId="102" fillId="3" borderId="57" xfId="1" applyNumberFormat="1" applyFont="1" applyFill="1" applyBorder="1" applyAlignment="1">
      <alignment horizontal="center" vertical="center"/>
    </xf>
    <xf numFmtId="44" fontId="102" fillId="3" borderId="57" xfId="276" applyFont="1" applyFill="1" applyBorder="1" applyAlignment="1">
      <alignment horizontal="center" vertical="center"/>
    </xf>
    <xf numFmtId="1" fontId="11" fillId="2" borderId="57" xfId="4" applyNumberFormat="1" applyFont="1" applyFill="1" applyBorder="1" applyAlignment="1">
      <alignment vertical="center" wrapText="1"/>
    </xf>
    <xf numFmtId="9" fontId="13" fillId="0" borderId="57" xfId="1" applyNumberFormat="1" applyFont="1" applyBorder="1"/>
    <xf numFmtId="9" fontId="13" fillId="0" borderId="57" xfId="4" applyNumberFormat="1" applyFont="1" applyBorder="1"/>
    <xf numFmtId="0" fontId="101" fillId="0" borderId="0" xfId="0" applyFont="1"/>
    <xf numFmtId="0" fontId="3" fillId="0" borderId="0" xfId="4" applyFont="1" applyBorder="1" applyAlignment="1">
      <alignment horizontal="right" vertical="center" wrapText="1"/>
    </xf>
    <xf numFmtId="0" fontId="4" fillId="0" borderId="0" xfId="4" applyFont="1" applyBorder="1" applyAlignment="1">
      <alignment horizontal="right" vertical="center" wrapText="1"/>
    </xf>
    <xf numFmtId="167" fontId="15" fillId="0" borderId="4" xfId="4" applyNumberFormat="1" applyFont="1" applyBorder="1" applyAlignment="1">
      <alignment horizontal="center" vertical="center" wrapText="1"/>
    </xf>
    <xf numFmtId="0" fontId="9" fillId="2" borderId="32" xfId="4" applyNumberFormat="1" applyFont="1" applyFill="1" applyBorder="1" applyAlignment="1">
      <alignment horizontal="center" vertical="center" wrapText="1"/>
    </xf>
    <xf numFmtId="0" fontId="4" fillId="0" borderId="0" xfId="4" applyFont="1" applyBorder="1" applyAlignment="1">
      <alignment horizontal="right" vertical="center" wrapText="1"/>
    </xf>
    <xf numFmtId="49" fontId="8" fillId="0" borderId="0" xfId="4" applyNumberFormat="1" applyFont="1" applyBorder="1" applyAlignment="1">
      <alignment horizontal="center" vertical="center"/>
    </xf>
    <xf numFmtId="0" fontId="14" fillId="0" borderId="28" xfId="4" applyFont="1" applyBorder="1" applyAlignment="1">
      <alignment horizontal="center" vertical="top"/>
    </xf>
    <xf numFmtId="1" fontId="78" fillId="2" borderId="57" xfId="4" applyNumberFormat="1" applyFont="1" applyFill="1" applyBorder="1" applyAlignment="1">
      <alignment horizontal="center" vertical="center" wrapText="1"/>
    </xf>
    <xf numFmtId="1" fontId="11" fillId="2" borderId="57" xfId="4" applyNumberFormat="1" applyFont="1" applyFill="1" applyBorder="1" applyAlignment="1">
      <alignment horizontal="center" vertical="center" wrapText="1"/>
    </xf>
    <xf numFmtId="167" fontId="15" fillId="0" borderId="12" xfId="4" applyNumberFormat="1" applyFont="1" applyBorder="1" applyAlignment="1">
      <alignment horizontal="center" vertical="center"/>
    </xf>
    <xf numFmtId="0" fontId="21" fillId="0" borderId="28" xfId="4" applyBorder="1" applyAlignment="1">
      <alignment vertical="center" wrapText="1"/>
    </xf>
    <xf numFmtId="41" fontId="15" fillId="0" borderId="4" xfId="4" applyNumberFormat="1" applyFont="1" applyBorder="1" applyAlignment="1">
      <alignment horizontal="left" vertical="center" wrapText="1" indent="1"/>
    </xf>
    <xf numFmtId="41" fontId="15" fillId="3" borderId="4" xfId="4" applyNumberFormat="1" applyFont="1" applyFill="1" applyBorder="1" applyAlignment="1">
      <alignment horizontal="left" vertical="center" wrapText="1" indent="1"/>
    </xf>
    <xf numFmtId="41" fontId="15" fillId="3" borderId="6" xfId="4" applyNumberFormat="1" applyFont="1" applyFill="1" applyBorder="1" applyAlignment="1">
      <alignment horizontal="left" vertical="center" wrapText="1" indent="1"/>
    </xf>
    <xf numFmtId="167" fontId="15" fillId="3" borderId="92" xfId="4" applyNumberFormat="1" applyFont="1" applyFill="1" applyBorder="1" applyAlignment="1">
      <alignment horizontal="center" vertical="center"/>
    </xf>
    <xf numFmtId="167" fontId="15" fillId="0" borderId="92" xfId="4" applyNumberFormat="1" applyFont="1" applyBorder="1" applyAlignment="1">
      <alignment horizontal="center" vertical="center"/>
    </xf>
    <xf numFmtId="167" fontId="15" fillId="3" borderId="90" xfId="4" applyNumberFormat="1" applyFont="1" applyFill="1" applyBorder="1" applyAlignment="1">
      <alignment horizontal="center" vertical="center"/>
    </xf>
    <xf numFmtId="167" fontId="15" fillId="3" borderId="94" xfId="4" applyNumberFormat="1" applyFont="1" applyFill="1" applyBorder="1" applyAlignment="1">
      <alignment horizontal="center" vertical="center"/>
    </xf>
    <xf numFmtId="9" fontId="75" fillId="0" borderId="57" xfId="1" applyNumberFormat="1" applyFont="1" applyBorder="1"/>
    <xf numFmtId="9" fontId="75" fillId="0" borderId="57" xfId="4" applyNumberFormat="1" applyFont="1" applyBorder="1"/>
    <xf numFmtId="0" fontId="54" fillId="0" borderId="0" xfId="4" applyFont="1"/>
    <xf numFmtId="1" fontId="5" fillId="2" borderId="1" xfId="4" applyNumberFormat="1" applyFont="1" applyFill="1" applyBorder="1" applyAlignment="1">
      <alignment horizontal="center" vertical="center" wrapText="1"/>
    </xf>
    <xf numFmtId="1" fontId="4" fillId="2" borderId="1" xfId="4" applyNumberFormat="1" applyFont="1" applyFill="1" applyBorder="1" applyAlignment="1">
      <alignment horizontal="center" vertical="center" wrapText="1"/>
    </xf>
    <xf numFmtId="167" fontId="81" fillId="3" borderId="99" xfId="4" applyNumberFormat="1" applyFont="1" applyFill="1" applyBorder="1" applyAlignment="1">
      <alignment horizontal="center" vertical="center"/>
    </xf>
    <xf numFmtId="41" fontId="15" fillId="3" borderId="99" xfId="4" applyNumberFormat="1" applyFont="1" applyFill="1" applyBorder="1" applyAlignment="1">
      <alignment horizontal="center" vertical="center" wrapText="1"/>
    </xf>
    <xf numFmtId="41" fontId="17" fillId="3" borderId="99" xfId="4" applyNumberFormat="1" applyFont="1" applyFill="1" applyBorder="1" applyAlignment="1">
      <alignment horizontal="center" vertical="center" wrapText="1"/>
    </xf>
    <xf numFmtId="41" fontId="15" fillId="3" borderId="100" xfId="4" applyNumberFormat="1" applyFont="1" applyFill="1" applyBorder="1" applyAlignment="1">
      <alignment horizontal="center" vertical="center" wrapText="1"/>
    </xf>
    <xf numFmtId="167" fontId="81" fillId="0" borderId="101" xfId="4" applyNumberFormat="1" applyFont="1" applyBorder="1" applyAlignment="1">
      <alignment horizontal="center" vertical="center"/>
    </xf>
    <xf numFmtId="41" fontId="15" fillId="0" borderId="101" xfId="4" applyNumberFormat="1" applyFont="1" applyBorder="1" applyAlignment="1">
      <alignment horizontal="left" vertical="center" wrapText="1" indent="1"/>
    </xf>
    <xf numFmtId="41" fontId="15" fillId="0" borderId="101" xfId="4" applyNumberFormat="1" applyFont="1" applyBorder="1" applyAlignment="1">
      <alignment horizontal="center" vertical="center" wrapText="1"/>
    </xf>
    <xf numFmtId="41" fontId="17" fillId="0" borderId="101" xfId="4" applyNumberFormat="1" applyFont="1" applyBorder="1" applyAlignment="1">
      <alignment horizontal="center" vertical="center" wrapText="1"/>
    </xf>
    <xf numFmtId="41" fontId="15" fillId="0" borderId="102" xfId="4" applyNumberFormat="1" applyFont="1" applyBorder="1" applyAlignment="1">
      <alignment horizontal="center" vertical="center" wrapText="1"/>
    </xf>
    <xf numFmtId="167" fontId="81" fillId="3" borderId="101" xfId="4" applyNumberFormat="1" applyFont="1" applyFill="1" applyBorder="1" applyAlignment="1">
      <alignment horizontal="center" vertical="center"/>
    </xf>
    <xf numFmtId="41" fontId="15" fillId="3" borderId="101" xfId="4" applyNumberFormat="1" applyFont="1" applyFill="1" applyBorder="1" applyAlignment="1">
      <alignment horizontal="left" vertical="center" wrapText="1" indent="1"/>
    </xf>
    <xf numFmtId="41" fontId="15" fillId="3" borderId="101" xfId="4" applyNumberFormat="1" applyFont="1" applyFill="1" applyBorder="1" applyAlignment="1">
      <alignment horizontal="center" vertical="center" wrapText="1"/>
    </xf>
    <xf numFmtId="41" fontId="17" fillId="3" borderId="101" xfId="4" applyNumberFormat="1" applyFont="1" applyFill="1" applyBorder="1" applyAlignment="1">
      <alignment horizontal="center" vertical="center" wrapText="1"/>
    </xf>
    <xf numFmtId="41" fontId="15" fillId="3" borderId="102" xfId="4" applyNumberFormat="1" applyFont="1" applyFill="1" applyBorder="1" applyAlignment="1">
      <alignment horizontal="center" vertical="center" wrapText="1"/>
    </xf>
    <xf numFmtId="167" fontId="81" fillId="3" borderId="103" xfId="4" applyNumberFormat="1" applyFont="1" applyFill="1" applyBorder="1" applyAlignment="1">
      <alignment horizontal="center" vertical="center"/>
    </xf>
    <xf numFmtId="41" fontId="15" fillId="3" borderId="103" xfId="4" applyNumberFormat="1" applyFont="1" applyFill="1" applyBorder="1" applyAlignment="1">
      <alignment horizontal="left" vertical="center" wrapText="1" indent="1"/>
    </xf>
    <xf numFmtId="41" fontId="15" fillId="3" borderId="103" xfId="4" applyNumberFormat="1" applyFont="1" applyFill="1" applyBorder="1" applyAlignment="1">
      <alignment horizontal="center" vertical="center" wrapText="1"/>
    </xf>
    <xf numFmtId="41" fontId="17" fillId="3" borderId="103" xfId="4" applyNumberFormat="1" applyFont="1" applyFill="1" applyBorder="1" applyAlignment="1">
      <alignment horizontal="center" vertical="center" wrapText="1"/>
    </xf>
    <xf numFmtId="41" fontId="15" fillId="3" borderId="104" xfId="4" applyNumberFormat="1" applyFont="1" applyFill="1" applyBorder="1" applyAlignment="1">
      <alignment horizontal="center" vertical="center" wrapText="1"/>
    </xf>
    <xf numFmtId="167" fontId="81" fillId="3" borderId="52" xfId="4" applyNumberFormat="1" applyFont="1" applyFill="1" applyBorder="1" applyAlignment="1">
      <alignment horizontal="center" vertical="center"/>
    </xf>
    <xf numFmtId="41" fontId="15" fillId="4" borderId="52" xfId="4" applyNumberFormat="1" applyFont="1" applyFill="1" applyBorder="1" applyAlignment="1">
      <alignment horizontal="center" vertical="center"/>
    </xf>
    <xf numFmtId="167" fontId="15" fillId="3" borderId="108" xfId="4" applyNumberFormat="1" applyFont="1" applyFill="1" applyBorder="1" applyAlignment="1">
      <alignment horizontal="center" vertical="center"/>
    </xf>
    <xf numFmtId="41" fontId="15" fillId="3" borderId="108" xfId="4" applyNumberFormat="1" applyFont="1" applyFill="1" applyBorder="1" applyAlignment="1">
      <alignment horizontal="center" vertical="center" wrapText="1"/>
    </xf>
    <xf numFmtId="41" fontId="17" fillId="3" borderId="108" xfId="4" applyNumberFormat="1" applyFont="1" applyFill="1" applyBorder="1" applyAlignment="1">
      <alignment horizontal="center" vertical="center" wrapText="1"/>
    </xf>
    <xf numFmtId="41" fontId="15" fillId="3" borderId="109" xfId="4" applyNumberFormat="1" applyFont="1" applyFill="1" applyBorder="1" applyAlignment="1">
      <alignment horizontal="center" vertical="center" wrapText="1"/>
    </xf>
    <xf numFmtId="167" fontId="15" fillId="0" borderId="101" xfId="4" applyNumberFormat="1" applyFont="1" applyBorder="1" applyAlignment="1">
      <alignment horizontal="center" vertical="center"/>
    </xf>
    <xf numFmtId="167" fontId="15" fillId="3" borderId="101" xfId="4" applyNumberFormat="1" applyFont="1" applyFill="1" applyBorder="1" applyAlignment="1">
      <alignment horizontal="center" vertical="center"/>
    </xf>
    <xf numFmtId="167" fontId="15" fillId="3" borderId="103" xfId="4" applyNumberFormat="1" applyFont="1" applyFill="1" applyBorder="1" applyAlignment="1">
      <alignment horizontal="center" vertical="center"/>
    </xf>
    <xf numFmtId="0" fontId="14" fillId="0" borderId="67" xfId="4" applyFont="1" applyBorder="1" applyAlignment="1">
      <alignment horizontal="center" vertical="top"/>
    </xf>
    <xf numFmtId="167" fontId="15" fillId="3" borderId="52" xfId="4" applyNumberFormat="1" applyFont="1" applyFill="1" applyBorder="1" applyAlignment="1">
      <alignment horizontal="center" vertical="center"/>
    </xf>
    <xf numFmtId="167" fontId="15" fillId="3" borderId="111" xfId="0" applyNumberFormat="1" applyFont="1" applyFill="1" applyBorder="1" applyAlignment="1">
      <alignment horizontal="center" vertical="center"/>
    </xf>
    <xf numFmtId="167" fontId="15" fillId="0" borderId="112" xfId="0" applyNumberFormat="1" applyFont="1" applyBorder="1" applyAlignment="1">
      <alignment horizontal="center" vertical="center"/>
    </xf>
    <xf numFmtId="167" fontId="15" fillId="3" borderId="112" xfId="0" applyNumberFormat="1" applyFont="1" applyFill="1" applyBorder="1" applyAlignment="1">
      <alignment horizontal="center" vertical="center"/>
    </xf>
    <xf numFmtId="167" fontId="15" fillId="3" borderId="113" xfId="0" applyNumberFormat="1" applyFont="1" applyFill="1" applyBorder="1" applyAlignment="1">
      <alignment horizontal="center" vertical="center"/>
    </xf>
    <xf numFmtId="41" fontId="17" fillId="3" borderId="28" xfId="4" applyNumberFormat="1" applyFont="1" applyFill="1" applyBorder="1" applyAlignment="1">
      <alignment horizontal="center" vertical="center" wrapText="1"/>
    </xf>
    <xf numFmtId="41" fontId="15" fillId="0" borderId="28" xfId="4" applyNumberFormat="1" applyFont="1" applyBorder="1" applyAlignment="1">
      <alignment horizontal="left" vertical="center" wrapText="1" indent="1"/>
    </xf>
    <xf numFmtId="41" fontId="17" fillId="0" borderId="28" xfId="4" applyNumberFormat="1" applyFont="1" applyBorder="1" applyAlignment="1">
      <alignment horizontal="center" vertical="center" wrapText="1"/>
    </xf>
    <xf numFmtId="41" fontId="15" fillId="3" borderId="28" xfId="4" applyNumberFormat="1" applyFont="1" applyFill="1" applyBorder="1" applyAlignment="1">
      <alignment horizontal="left" vertical="center" wrapText="1" indent="1"/>
    </xf>
    <xf numFmtId="167" fontId="81" fillId="3" borderId="95" xfId="0" applyNumberFormat="1" applyFont="1" applyFill="1" applyBorder="1" applyAlignment="1">
      <alignment horizontal="center" vertical="center"/>
    </xf>
    <xf numFmtId="167" fontId="81" fillId="3" borderId="114" xfId="0" applyNumberFormat="1" applyFont="1" applyFill="1" applyBorder="1" applyAlignment="1">
      <alignment horizontal="center" vertical="center"/>
    </xf>
    <xf numFmtId="167" fontId="81" fillId="0" borderId="115" xfId="0" applyNumberFormat="1" applyFont="1" applyBorder="1" applyAlignment="1">
      <alignment horizontal="center" vertical="center"/>
    </xf>
    <xf numFmtId="167" fontId="81" fillId="3" borderId="115" xfId="0" applyNumberFormat="1" applyFont="1" applyFill="1" applyBorder="1" applyAlignment="1">
      <alignment horizontal="center" vertical="center"/>
    </xf>
    <xf numFmtId="167" fontId="81" fillId="0" borderId="116" xfId="0" applyNumberFormat="1" applyFont="1" applyBorder="1" applyAlignment="1">
      <alignment horizontal="center" vertical="center"/>
    </xf>
    <xf numFmtId="41" fontId="15" fillId="0" borderId="46" xfId="4" applyNumberFormat="1" applyFont="1" applyBorder="1" applyAlignment="1">
      <alignment horizontal="center" vertical="center" wrapText="1"/>
    </xf>
    <xf numFmtId="41" fontId="17" fillId="0" borderId="46" xfId="4" applyNumberFormat="1" applyFont="1" applyBorder="1" applyAlignment="1">
      <alignment horizontal="center" vertical="center" wrapText="1"/>
    </xf>
    <xf numFmtId="41" fontId="91" fillId="4" borderId="28" xfId="4" applyNumberFormat="1" applyFont="1" applyFill="1" applyBorder="1" applyAlignment="1">
      <alignment horizontal="center" vertical="center"/>
    </xf>
    <xf numFmtId="0" fontId="105" fillId="0" borderId="0" xfId="4" applyFont="1" applyBorder="1" applyAlignment="1">
      <alignment horizontal="left" vertical="top" wrapText="1"/>
    </xf>
    <xf numFmtId="0" fontId="2" fillId="0" borderId="0" xfId="4" applyFont="1" applyBorder="1" applyAlignment="1">
      <alignment horizontal="left" vertical="top" wrapText="1"/>
    </xf>
    <xf numFmtId="0" fontId="106" fillId="0" borderId="0" xfId="4" applyFont="1" applyBorder="1" applyAlignment="1">
      <alignment horizontal="right" vertical="center" wrapText="1"/>
    </xf>
    <xf numFmtId="1" fontId="104" fillId="2" borderId="57" xfId="4" applyNumberFormat="1" applyFont="1" applyFill="1" applyBorder="1" applyAlignment="1">
      <alignment vertical="center" wrapText="1"/>
    </xf>
    <xf numFmtId="164" fontId="92" fillId="0" borderId="57" xfId="85" applyNumberFormat="1" applyFont="1" applyFill="1" applyBorder="1" applyAlignment="1">
      <alignment horizontal="center" vertical="center" wrapText="1"/>
    </xf>
    <xf numFmtId="9" fontId="12" fillId="52" borderId="57" xfId="1" applyNumberFormat="1" applyFont="1" applyFill="1" applyBorder="1"/>
    <xf numFmtId="9" fontId="12" fillId="53" borderId="57" xfId="1" applyNumberFormat="1" applyFont="1" applyFill="1" applyBorder="1"/>
    <xf numFmtId="41" fontId="91" fillId="4" borderId="99" xfId="4" applyNumberFormat="1" applyFont="1" applyFill="1" applyBorder="1" applyAlignment="1">
      <alignment horizontal="center" vertical="center"/>
    </xf>
    <xf numFmtId="41" fontId="91" fillId="4" borderId="43" xfId="4" applyNumberFormat="1" applyFont="1" applyFill="1" applyBorder="1" applyAlignment="1">
      <alignment horizontal="center" vertical="center"/>
    </xf>
    <xf numFmtId="41" fontId="15" fillId="3" borderId="121" xfId="4" applyNumberFormat="1" applyFont="1" applyFill="1" applyBorder="1" applyAlignment="1">
      <alignment horizontal="center" vertical="center" wrapText="1"/>
    </xf>
    <xf numFmtId="164" fontId="92" fillId="0" borderId="121" xfId="85" applyNumberFormat="1" applyFont="1" applyFill="1" applyBorder="1" applyAlignment="1">
      <alignment horizontal="center" vertical="center" wrapText="1"/>
    </xf>
    <xf numFmtId="0" fontId="21" fillId="0" borderId="120" xfId="4" applyBorder="1"/>
    <xf numFmtId="0" fontId="21" fillId="0" borderId="120" xfId="4" applyBorder="1" applyAlignment="1">
      <alignment vertical="center" wrapText="1"/>
    </xf>
    <xf numFmtId="0" fontId="108" fillId="54" borderId="120" xfId="4" applyFont="1" applyFill="1" applyBorder="1" applyAlignment="1">
      <alignment horizontal="center" vertical="center" wrapText="1"/>
    </xf>
    <xf numFmtId="41" fontId="80" fillId="54" borderId="120" xfId="4" applyNumberFormat="1" applyFont="1" applyFill="1" applyBorder="1" applyAlignment="1">
      <alignment horizontal="center" vertical="center" wrapText="1"/>
    </xf>
    <xf numFmtId="164" fontId="109" fillId="54" borderId="120" xfId="85" applyNumberFormat="1" applyFont="1" applyFill="1" applyBorder="1" applyAlignment="1">
      <alignment horizontal="center" vertical="center" wrapText="1"/>
    </xf>
    <xf numFmtId="9" fontId="110" fillId="54" borderId="120" xfId="1" applyFont="1" applyFill="1" applyBorder="1" applyAlignment="1">
      <alignment horizontal="left" vertical="center" wrapText="1"/>
    </xf>
    <xf numFmtId="9" fontId="4" fillId="0" borderId="0" xfId="1" applyFont="1"/>
    <xf numFmtId="3" fontId="17" fillId="0" borderId="0" xfId="4" applyNumberFormat="1" applyFont="1" applyBorder="1" applyAlignment="1">
      <alignment horizontal="center" vertical="center"/>
    </xf>
    <xf numFmtId="3" fontId="15" fillId="0" borderId="0" xfId="4" applyNumberFormat="1" applyFont="1" applyBorder="1" applyAlignment="1">
      <alignment horizontal="center" vertical="center"/>
    </xf>
    <xf numFmtId="0" fontId="15" fillId="0" borderId="0" xfId="4" applyFont="1" applyBorder="1" applyAlignment="1">
      <alignment vertical="center"/>
    </xf>
    <xf numFmtId="0" fontId="15" fillId="0" borderId="0" xfId="4" applyFont="1" applyBorder="1" applyAlignment="1">
      <alignment horizontal="center"/>
    </xf>
    <xf numFmtId="0" fontId="15" fillId="5" borderId="0" xfId="4" applyFont="1" applyFill="1" applyBorder="1" applyAlignment="1">
      <alignment horizontal="left" vertical="center"/>
    </xf>
    <xf numFmtId="9" fontId="15" fillId="5" borderId="0" xfId="1" applyFont="1" applyFill="1" applyBorder="1" applyAlignment="1">
      <alignment horizontal="left" vertical="center"/>
    </xf>
    <xf numFmtId="0" fontId="4" fillId="5" borderId="0" xfId="4" applyFont="1" applyFill="1" applyAlignment="1">
      <alignment horizontal="right"/>
    </xf>
    <xf numFmtId="0" fontId="4" fillId="5" borderId="0" xfId="4" applyFont="1" applyFill="1"/>
    <xf numFmtId="0" fontId="17" fillId="5" borderId="0" xfId="4" applyFont="1" applyFill="1"/>
    <xf numFmtId="0" fontId="15" fillId="5" borderId="0" xfId="4" applyFont="1" applyFill="1"/>
    <xf numFmtId="0" fontId="15" fillId="5" borderId="0" xfId="4" applyFont="1" applyFill="1" applyBorder="1" applyAlignment="1">
      <alignment vertical="center"/>
    </xf>
    <xf numFmtId="0" fontId="4" fillId="0" borderId="0" xfId="4" applyFont="1" applyAlignment="1">
      <alignment horizontal="right"/>
    </xf>
    <xf numFmtId="0" fontId="15" fillId="0" borderId="0" xfId="4" applyFont="1" applyBorder="1" applyAlignment="1">
      <alignment horizontal="left" vertical="center"/>
    </xf>
    <xf numFmtId="0" fontId="17" fillId="0" borderId="0" xfId="4" applyFont="1" applyBorder="1" applyAlignment="1">
      <alignment horizontal="left" vertical="center"/>
    </xf>
    <xf numFmtId="9" fontId="15" fillId="0" borderId="0" xfId="1" applyFont="1" applyBorder="1" applyAlignment="1">
      <alignment horizontal="left" vertical="center"/>
    </xf>
    <xf numFmtId="0" fontId="15" fillId="0" borderId="0" xfId="4" applyFont="1"/>
    <xf numFmtId="0" fontId="17" fillId="0" borderId="0" xfId="4" applyFont="1"/>
    <xf numFmtId="9" fontId="19" fillId="0" borderId="0" xfId="1" applyFont="1" applyBorder="1" applyAlignment="1">
      <alignment horizontal="left" vertical="center"/>
    </xf>
    <xf numFmtId="0" fontId="6" fillId="0" borderId="0" xfId="3" applyNumberFormat="1" applyFont="1" applyFill="1" applyBorder="1" applyAlignment="1" applyProtection="1"/>
    <xf numFmtId="0" fontId="75" fillId="0" borderId="0" xfId="4" applyFont="1" applyAlignment="1">
      <alignment horizontal="center"/>
    </xf>
    <xf numFmtId="0" fontId="75" fillId="0" borderId="0" xfId="4" applyFont="1"/>
    <xf numFmtId="0" fontId="21" fillId="0" borderId="120" xfId="4" applyBorder="1" applyAlignment="1">
      <alignment horizontal="center" vertical="center"/>
    </xf>
    <xf numFmtId="0" fontId="21" fillId="0" borderId="0" xfId="4" applyAlignment="1">
      <alignment horizontal="center" vertical="center" textRotation="90"/>
    </xf>
    <xf numFmtId="0" fontId="75" fillId="54" borderId="120" xfId="4" applyFont="1" applyFill="1" applyBorder="1" applyAlignment="1">
      <alignment horizontal="center"/>
    </xf>
    <xf numFmtId="0" fontId="21" fillId="55" borderId="120" xfId="4" applyFill="1" applyBorder="1" applyAlignment="1">
      <alignment horizontal="center"/>
    </xf>
    <xf numFmtId="0" fontId="75" fillId="55" borderId="120" xfId="4" applyFont="1" applyFill="1" applyBorder="1" applyAlignment="1">
      <alignment horizontal="center"/>
    </xf>
    <xf numFmtId="0" fontId="75" fillId="0" borderId="120" xfId="4" applyFont="1" applyBorder="1"/>
    <xf numFmtId="9" fontId="111" fillId="0" borderId="0" xfId="1" applyFont="1"/>
    <xf numFmtId="0" fontId="108" fillId="0" borderId="0" xfId="4" applyFont="1"/>
    <xf numFmtId="0" fontId="112" fillId="0" borderId="0" xfId="4" applyFont="1"/>
    <xf numFmtId="41" fontId="21" fillId="0" borderId="0" xfId="4" applyNumberFormat="1"/>
    <xf numFmtId="0" fontId="113" fillId="0" borderId="0" xfId="4" applyFont="1" applyAlignment="1">
      <alignment horizontal="right"/>
    </xf>
    <xf numFmtId="0" fontId="114" fillId="0" borderId="0" xfId="4" applyFont="1" applyBorder="1" applyAlignment="1">
      <alignment horizontal="right" vertical="center" wrapText="1"/>
    </xf>
    <xf numFmtId="0" fontId="114" fillId="0" borderId="0" xfId="4" applyFont="1"/>
    <xf numFmtId="0" fontId="115" fillId="0" borderId="0" xfId="4" applyFont="1"/>
    <xf numFmtId="0" fontId="113" fillId="0" borderId="0" xfId="4" applyFont="1"/>
    <xf numFmtId="0" fontId="117" fillId="0" borderId="0" xfId="4" applyFont="1" applyAlignment="1">
      <alignment vertical="center"/>
    </xf>
    <xf numFmtId="0" fontId="117" fillId="0" borderId="0" xfId="4" applyFont="1"/>
    <xf numFmtId="0" fontId="9" fillId="2" borderId="124" xfId="4" applyNumberFormat="1" applyFont="1" applyFill="1" applyBorder="1" applyAlignment="1">
      <alignment horizontal="center" vertical="center" wrapText="1"/>
    </xf>
    <xf numFmtId="167" fontId="15" fillId="0" borderId="124" xfId="4" applyNumberFormat="1" applyFont="1" applyBorder="1" applyAlignment="1">
      <alignment horizontal="center" vertical="center"/>
    </xf>
    <xf numFmtId="167" fontId="15" fillId="3" borderId="124" xfId="4" applyNumberFormat="1" applyFont="1" applyFill="1" applyBorder="1" applyAlignment="1">
      <alignment horizontal="center" vertical="center"/>
    </xf>
    <xf numFmtId="41" fontId="80" fillId="3" borderId="120" xfId="4" applyNumberFormat="1" applyFont="1" applyFill="1" applyBorder="1" applyAlignment="1">
      <alignment horizontal="center" vertical="center"/>
    </xf>
    <xf numFmtId="41" fontId="15" fillId="3" borderId="120" xfId="4" applyNumberFormat="1" applyFont="1" applyFill="1" applyBorder="1" applyAlignment="1">
      <alignment horizontal="center" vertical="center"/>
    </xf>
    <xf numFmtId="41" fontId="115" fillId="3" borderId="120" xfId="274" applyNumberFormat="1" applyFont="1" applyFill="1" applyBorder="1" applyAlignment="1">
      <alignment horizontal="center" vertical="center"/>
    </xf>
    <xf numFmtId="41" fontId="115" fillId="0" borderId="120" xfId="274" applyNumberFormat="1" applyFont="1" applyFill="1" applyBorder="1" applyAlignment="1">
      <alignment horizontal="center" vertical="center"/>
    </xf>
    <xf numFmtId="41" fontId="116" fillId="3" borderId="120" xfId="274" applyNumberFormat="1" applyFont="1" applyFill="1" applyBorder="1" applyAlignment="1">
      <alignment horizontal="center" vertical="center"/>
    </xf>
    <xf numFmtId="41" fontId="116" fillId="0" borderId="46" xfId="274" applyNumberFormat="1" applyFont="1" applyFill="1" applyBorder="1" applyAlignment="1">
      <alignment horizontal="center" vertical="center"/>
    </xf>
    <xf numFmtId="41" fontId="115" fillId="3" borderId="73" xfId="274" applyNumberFormat="1" applyFont="1" applyFill="1" applyBorder="1" applyAlignment="1">
      <alignment horizontal="center" vertical="center"/>
    </xf>
    <xf numFmtId="41" fontId="15" fillId="3" borderId="73" xfId="4" applyNumberFormat="1" applyFont="1" applyFill="1" applyBorder="1" applyAlignment="1">
      <alignment horizontal="center" vertical="center"/>
    </xf>
    <xf numFmtId="41" fontId="15" fillId="0" borderId="120" xfId="4" applyNumberFormat="1" applyFont="1" applyFill="1" applyBorder="1" applyAlignment="1">
      <alignment horizontal="center" vertical="center"/>
    </xf>
    <xf numFmtId="167" fontId="15" fillId="3" borderId="73" xfId="4" applyNumberFormat="1" applyFont="1" applyFill="1" applyBorder="1" applyAlignment="1">
      <alignment horizontal="left" vertical="center" indent="1"/>
    </xf>
    <xf numFmtId="167" fontId="15" fillId="3" borderId="120" xfId="4" applyNumberFormat="1" applyFont="1" applyFill="1" applyBorder="1" applyAlignment="1">
      <alignment horizontal="left" vertical="center" indent="1"/>
    </xf>
    <xf numFmtId="41" fontId="15" fillId="0" borderId="46" xfId="4" applyNumberFormat="1" applyFont="1" applyFill="1" applyBorder="1" applyAlignment="1">
      <alignment horizontal="center" vertical="center"/>
    </xf>
    <xf numFmtId="41" fontId="80" fillId="0" borderId="46" xfId="4" applyNumberFormat="1" applyFont="1" applyFill="1" applyBorder="1" applyAlignment="1">
      <alignment horizontal="center" vertical="center"/>
    </xf>
    <xf numFmtId="0" fontId="4" fillId="0" borderId="0" xfId="4" applyFont="1" applyBorder="1" applyAlignment="1">
      <alignment horizontal="right" vertical="center" wrapText="1"/>
    </xf>
    <xf numFmtId="49" fontId="8" fillId="0" borderId="0" xfId="4" applyNumberFormat="1" applyFont="1" applyBorder="1" applyAlignment="1">
      <alignment horizontal="center" vertical="center"/>
    </xf>
    <xf numFmtId="0" fontId="14" fillId="0" borderId="5" xfId="4" applyFont="1" applyBorder="1" applyAlignment="1">
      <alignment horizontal="center" vertical="top"/>
    </xf>
    <xf numFmtId="1" fontId="118" fillId="56" borderId="120" xfId="4" applyNumberFormat="1" applyFont="1" applyFill="1" applyBorder="1" applyAlignment="1">
      <alignment horizontal="center" vertical="center" wrapText="1"/>
    </xf>
    <xf numFmtId="41" fontId="118" fillId="57" borderId="5" xfId="4" applyNumberFormat="1" applyFont="1" applyFill="1" applyBorder="1" applyAlignment="1">
      <alignment horizontal="center" vertical="center"/>
    </xf>
    <xf numFmtId="41" fontId="115" fillId="3" borderId="117" xfId="274" applyNumberFormat="1" applyFont="1" applyFill="1" applyBorder="1" applyAlignment="1">
      <alignment horizontal="center" vertical="center"/>
    </xf>
    <xf numFmtId="1" fontId="78" fillId="2" borderId="120" xfId="4" applyNumberFormat="1" applyFont="1" applyFill="1" applyBorder="1" applyAlignment="1">
      <alignment horizontal="center" vertical="center" wrapText="1"/>
    </xf>
    <xf numFmtId="1" fontId="11" fillId="2" borderId="120" xfId="4" applyNumberFormat="1" applyFont="1" applyFill="1" applyBorder="1" applyAlignment="1">
      <alignment horizontal="center" vertical="center" wrapText="1"/>
    </xf>
    <xf numFmtId="167" fontId="15" fillId="0" borderId="117" xfId="4" applyNumberFormat="1" applyFont="1" applyFill="1" applyBorder="1" applyAlignment="1">
      <alignment horizontal="left" vertical="center" indent="1"/>
    </xf>
    <xf numFmtId="167" fontId="15" fillId="3" borderId="117" xfId="4" applyNumberFormat="1" applyFont="1" applyFill="1" applyBorder="1" applyAlignment="1">
      <alignment horizontal="left" vertical="center" indent="1"/>
    </xf>
    <xf numFmtId="41" fontId="17" fillId="3" borderId="120" xfId="4" applyNumberFormat="1" applyFont="1" applyFill="1" applyBorder="1" applyAlignment="1">
      <alignment horizontal="center" vertical="center"/>
    </xf>
    <xf numFmtId="41" fontId="17" fillId="0" borderId="120" xfId="4" applyNumberFormat="1" applyFont="1" applyFill="1" applyBorder="1" applyAlignment="1">
      <alignment horizontal="center" vertical="center"/>
    </xf>
    <xf numFmtId="41" fontId="119" fillId="3" borderId="120" xfId="4" applyNumberFormat="1" applyFont="1" applyFill="1" applyBorder="1" applyAlignment="1">
      <alignment horizontal="center" vertical="center"/>
    </xf>
    <xf numFmtId="170" fontId="75" fillId="0" borderId="57" xfId="1" applyNumberFormat="1" applyFont="1" applyBorder="1"/>
    <xf numFmtId="170" fontId="75" fillId="0" borderId="57" xfId="4" applyNumberFormat="1" applyFont="1" applyBorder="1"/>
    <xf numFmtId="41" fontId="115" fillId="3" borderId="118" xfId="274" applyNumberFormat="1" applyFont="1" applyFill="1" applyBorder="1" applyAlignment="1">
      <alignment horizontal="center" vertical="center"/>
    </xf>
    <xf numFmtId="41" fontId="17" fillId="3" borderId="73" xfId="4" applyNumberFormat="1" applyFont="1" applyFill="1" applyBorder="1" applyAlignment="1">
      <alignment horizontal="center" vertical="center"/>
    </xf>
    <xf numFmtId="41" fontId="119" fillId="0" borderId="46" xfId="4" applyNumberFormat="1" applyFont="1" applyFill="1" applyBorder="1" applyAlignment="1">
      <alignment horizontal="center" vertical="center"/>
    </xf>
    <xf numFmtId="41" fontId="116" fillId="0" borderId="125" xfId="274" applyNumberFormat="1" applyFont="1" applyFill="1" applyBorder="1" applyAlignment="1">
      <alignment horizontal="center" vertical="center"/>
    </xf>
    <xf numFmtId="41" fontId="15" fillId="0" borderId="125" xfId="4" applyNumberFormat="1" applyFont="1" applyFill="1" applyBorder="1" applyAlignment="1">
      <alignment horizontal="center" vertical="center"/>
    </xf>
    <xf numFmtId="41" fontId="119" fillId="0" borderId="125" xfId="4" applyNumberFormat="1" applyFont="1" applyFill="1" applyBorder="1" applyAlignment="1">
      <alignment horizontal="center" vertical="center"/>
    </xf>
    <xf numFmtId="41" fontId="80" fillId="0" borderId="125" xfId="4" applyNumberFormat="1" applyFont="1" applyFill="1" applyBorder="1" applyAlignment="1">
      <alignment horizontal="center" vertical="center"/>
    </xf>
    <xf numFmtId="41" fontId="116" fillId="3" borderId="125" xfId="274" applyNumberFormat="1" applyFont="1" applyFill="1" applyBorder="1" applyAlignment="1">
      <alignment horizontal="center" vertical="center"/>
    </xf>
    <xf numFmtId="41" fontId="15" fillId="3" borderId="125" xfId="4" applyNumberFormat="1" applyFont="1" applyFill="1" applyBorder="1" applyAlignment="1">
      <alignment horizontal="center" vertical="center"/>
    </xf>
    <xf numFmtId="41" fontId="119" fillId="3" borderId="125" xfId="4" applyNumberFormat="1" applyFont="1" applyFill="1" applyBorder="1" applyAlignment="1">
      <alignment horizontal="center" vertical="center"/>
    </xf>
    <xf numFmtId="41" fontId="80" fillId="3" borderId="125" xfId="4" applyNumberFormat="1" applyFont="1" applyFill="1" applyBorder="1" applyAlignment="1">
      <alignment horizontal="center" vertical="center"/>
    </xf>
    <xf numFmtId="167" fontId="15" fillId="0" borderId="126" xfId="4" applyNumberFormat="1" applyFont="1" applyFill="1" applyBorder="1" applyAlignment="1">
      <alignment horizontal="left" vertical="center" indent="1"/>
    </xf>
    <xf numFmtId="41" fontId="115" fillId="0" borderId="126" xfId="274" applyNumberFormat="1" applyFont="1" applyFill="1" applyBorder="1" applyAlignment="1">
      <alignment horizontal="center" vertical="center"/>
    </xf>
    <xf numFmtId="41" fontId="15" fillId="0" borderId="126" xfId="4" applyNumberFormat="1" applyFont="1" applyFill="1" applyBorder="1" applyAlignment="1">
      <alignment horizontal="center" vertical="center"/>
    </xf>
    <xf numFmtId="41" fontId="17" fillId="0" borderId="126" xfId="4" applyNumberFormat="1" applyFont="1" applyFill="1" applyBorder="1" applyAlignment="1">
      <alignment horizontal="center" vertical="center"/>
    </xf>
    <xf numFmtId="167" fontId="15" fillId="3" borderId="126" xfId="4" applyNumberFormat="1" applyFont="1" applyFill="1" applyBorder="1" applyAlignment="1">
      <alignment horizontal="left" vertical="center" indent="1"/>
    </xf>
    <xf numFmtId="41" fontId="115" fillId="3" borderId="126" xfId="274" applyNumberFormat="1" applyFont="1" applyFill="1" applyBorder="1" applyAlignment="1">
      <alignment horizontal="center" vertical="center"/>
    </xf>
    <xf numFmtId="41" fontId="115" fillId="3" borderId="127" xfId="274" applyNumberFormat="1" applyFont="1" applyFill="1" applyBorder="1" applyAlignment="1">
      <alignment horizontal="center" vertical="center"/>
    </xf>
    <xf numFmtId="41" fontId="15" fillId="3" borderId="126" xfId="4" applyNumberFormat="1" applyFont="1" applyFill="1" applyBorder="1" applyAlignment="1">
      <alignment horizontal="center" vertical="center"/>
    </xf>
    <xf numFmtId="41" fontId="17" fillId="3" borderId="126" xfId="4" applyNumberFormat="1" applyFont="1" applyFill="1" applyBorder="1" applyAlignment="1">
      <alignment horizontal="center" vertical="center"/>
    </xf>
    <xf numFmtId="0" fontId="90" fillId="0" borderId="0" xfId="4" applyFont="1" applyAlignment="1">
      <alignment horizontal="right"/>
    </xf>
    <xf numFmtId="0" fontId="10" fillId="0" borderId="0" xfId="4" applyFont="1" applyBorder="1" applyAlignment="1">
      <alignment horizontal="right" vertical="center" wrapText="1"/>
    </xf>
    <xf numFmtId="41" fontId="91" fillId="0" borderId="6" xfId="4" applyNumberFormat="1" applyFont="1" applyFill="1" applyBorder="1" applyAlignment="1">
      <alignment horizontal="center" vertical="center"/>
    </xf>
    <xf numFmtId="0" fontId="10" fillId="0" borderId="0" xfId="4" applyFont="1"/>
    <xf numFmtId="0" fontId="91" fillId="0" borderId="0" xfId="4" applyFont="1"/>
    <xf numFmtId="0" fontId="90" fillId="0" borderId="0" xfId="4" applyFont="1"/>
    <xf numFmtId="41" fontId="91" fillId="3" borderId="120" xfId="274" applyNumberFormat="1" applyFont="1" applyFill="1" applyBorder="1" applyAlignment="1">
      <alignment horizontal="center" vertical="center"/>
    </xf>
    <xf numFmtId="41" fontId="91" fillId="0" borderId="120" xfId="274" applyNumberFormat="1" applyFont="1" applyFill="1" applyBorder="1" applyAlignment="1">
      <alignment horizontal="center" vertical="center"/>
    </xf>
    <xf numFmtId="41" fontId="120" fillId="3" borderId="125" xfId="274" applyNumberFormat="1" applyFont="1" applyFill="1" applyBorder="1" applyAlignment="1">
      <alignment horizontal="center" vertical="center"/>
    </xf>
    <xf numFmtId="41" fontId="91" fillId="0" borderId="126" xfId="274" applyNumberFormat="1" applyFont="1" applyFill="1" applyBorder="1" applyAlignment="1">
      <alignment horizontal="center" vertical="center"/>
    </xf>
    <xf numFmtId="41" fontId="120" fillId="0" borderId="125" xfId="274" applyNumberFormat="1" applyFont="1" applyFill="1" applyBorder="1" applyAlignment="1">
      <alignment horizontal="center" vertical="center"/>
    </xf>
    <xf numFmtId="41" fontId="91" fillId="3" borderId="126" xfId="274" applyNumberFormat="1" applyFont="1" applyFill="1" applyBorder="1" applyAlignment="1">
      <alignment horizontal="center" vertical="center"/>
    </xf>
    <xf numFmtId="41" fontId="120" fillId="0" borderId="46" xfId="274" applyNumberFormat="1" applyFont="1" applyFill="1" applyBorder="1" applyAlignment="1">
      <alignment horizontal="center" vertical="center"/>
    </xf>
    <xf numFmtId="41" fontId="91" fillId="3" borderId="73" xfId="274" applyNumberFormat="1" applyFont="1" applyFill="1" applyBorder="1" applyAlignment="1">
      <alignment horizontal="center" vertical="center"/>
    </xf>
    <xf numFmtId="41" fontId="120" fillId="3" borderId="120" xfId="274" applyNumberFormat="1" applyFont="1" applyFill="1" applyBorder="1" applyAlignment="1">
      <alignment horizontal="center" vertical="center"/>
    </xf>
    <xf numFmtId="41" fontId="91" fillId="4" borderId="42" xfId="4" applyNumberFormat="1" applyFont="1" applyFill="1" applyBorder="1" applyAlignment="1">
      <alignment horizontal="center" vertical="center"/>
    </xf>
    <xf numFmtId="41" fontId="118" fillId="57" borderId="120" xfId="4" applyNumberFormat="1" applyFont="1" applyFill="1" applyBorder="1" applyAlignment="1">
      <alignment horizontal="center" vertical="center"/>
    </xf>
    <xf numFmtId="41" fontId="15" fillId="0" borderId="120" xfId="4" applyNumberFormat="1" applyFont="1" applyBorder="1" applyAlignment="1">
      <alignment horizontal="left" vertical="center" wrapText="1" indent="1"/>
    </xf>
    <xf numFmtId="41" fontId="15" fillId="3" borderId="120" xfId="4" applyNumberFormat="1" applyFont="1" applyFill="1" applyBorder="1" applyAlignment="1">
      <alignment horizontal="left" vertical="center" wrapText="1" indent="1"/>
    </xf>
    <xf numFmtId="41" fontId="91" fillId="4" borderId="120" xfId="4" applyNumberFormat="1" applyFont="1" applyFill="1" applyBorder="1" applyAlignment="1">
      <alignment horizontal="center" vertical="center"/>
    </xf>
    <xf numFmtId="41" fontId="15" fillId="3" borderId="120" xfId="4" applyNumberFormat="1" applyFont="1" applyFill="1" applyBorder="1" applyAlignment="1">
      <alignment horizontal="center" vertical="center" wrapText="1"/>
    </xf>
    <xf numFmtId="41" fontId="17" fillId="3" borderId="120" xfId="4" applyNumberFormat="1" applyFont="1" applyFill="1" applyBorder="1" applyAlignment="1">
      <alignment horizontal="center" vertical="center" wrapText="1"/>
    </xf>
    <xf numFmtId="41" fontId="15" fillId="0" borderId="120" xfId="4" applyNumberFormat="1" applyFont="1" applyBorder="1" applyAlignment="1">
      <alignment horizontal="center" vertical="center" wrapText="1"/>
    </xf>
    <xf numFmtId="41" fontId="17" fillId="0" borderId="120" xfId="4" applyNumberFormat="1" applyFont="1" applyBorder="1" applyAlignment="1">
      <alignment horizontal="center" vertical="center" wrapText="1"/>
    </xf>
    <xf numFmtId="1" fontId="78" fillId="2" borderId="128" xfId="4" applyNumberFormat="1" applyFont="1" applyFill="1" applyBorder="1" applyAlignment="1">
      <alignment horizontal="center" vertical="center" wrapText="1"/>
    </xf>
    <xf numFmtId="41" fontId="15" fillId="3" borderId="42" xfId="4" applyNumberFormat="1" applyFont="1" applyFill="1" applyBorder="1" applyAlignment="1">
      <alignment horizontal="center" vertical="center" wrapText="1"/>
    </xf>
    <xf numFmtId="41" fontId="15" fillId="0" borderId="112" xfId="4" applyNumberFormat="1" applyFont="1" applyBorder="1" applyAlignment="1">
      <alignment horizontal="center" vertical="center" wrapText="1"/>
    </xf>
    <xf numFmtId="41" fontId="15" fillId="3" borderId="112" xfId="4" applyNumberFormat="1" applyFont="1" applyFill="1" applyBorder="1" applyAlignment="1">
      <alignment horizontal="center" vertical="center" wrapText="1"/>
    </xf>
    <xf numFmtId="41" fontId="15" fillId="3" borderId="113" xfId="4" applyNumberFormat="1" applyFont="1" applyFill="1" applyBorder="1" applyAlignment="1">
      <alignment horizontal="center" vertical="center" wrapText="1"/>
    </xf>
    <xf numFmtId="41" fontId="91" fillId="0" borderId="112" xfId="4" applyNumberFormat="1" applyFont="1" applyBorder="1" applyAlignment="1">
      <alignment horizontal="left" vertical="center" wrapText="1" indent="1"/>
    </xf>
    <xf numFmtId="41" fontId="91" fillId="3" borderId="112" xfId="4" applyNumberFormat="1" applyFont="1" applyFill="1" applyBorder="1" applyAlignment="1">
      <alignment horizontal="left" vertical="center" wrapText="1" indent="1"/>
    </xf>
    <xf numFmtId="41" fontId="91" fillId="3" borderId="113" xfId="4" applyNumberFormat="1" applyFont="1" applyFill="1" applyBorder="1" applyAlignment="1">
      <alignment horizontal="left" vertical="center" wrapText="1" indent="1"/>
    </xf>
    <xf numFmtId="167" fontId="91" fillId="5" borderId="4" xfId="4" applyNumberFormat="1" applyFont="1" applyFill="1" applyBorder="1" applyAlignment="1">
      <alignment horizontal="center" vertical="center"/>
    </xf>
    <xf numFmtId="167" fontId="91" fillId="4" borderId="4" xfId="4" applyNumberFormat="1" applyFont="1" applyFill="1" applyBorder="1" applyAlignment="1">
      <alignment horizontal="center" vertical="center"/>
    </xf>
    <xf numFmtId="41" fontId="118" fillId="57" borderId="73" xfId="4" applyNumberFormat="1" applyFont="1" applyFill="1" applyBorder="1" applyAlignment="1">
      <alignment horizontal="center" vertical="center"/>
    </xf>
    <xf numFmtId="41" fontId="118" fillId="57" borderId="46" xfId="4" applyNumberFormat="1" applyFont="1" applyFill="1" applyBorder="1" applyAlignment="1">
      <alignment horizontal="center" vertical="center"/>
    </xf>
    <xf numFmtId="41" fontId="91" fillId="4" borderId="73" xfId="4" applyNumberFormat="1" applyFont="1" applyFill="1" applyBorder="1" applyAlignment="1">
      <alignment horizontal="center" vertical="center"/>
    </xf>
    <xf numFmtId="41" fontId="15" fillId="3" borderId="73" xfId="4" applyNumberFormat="1" applyFont="1" applyFill="1" applyBorder="1" applyAlignment="1">
      <alignment horizontal="center" vertical="center" wrapText="1"/>
    </xf>
    <xf numFmtId="41" fontId="17" fillId="3" borderId="73" xfId="4" applyNumberFormat="1" applyFont="1" applyFill="1" applyBorder="1" applyAlignment="1">
      <alignment horizontal="center" vertical="center" wrapText="1"/>
    </xf>
    <xf numFmtId="41" fontId="15" fillId="3" borderId="46" xfId="4" applyNumberFormat="1" applyFont="1" applyFill="1" applyBorder="1" applyAlignment="1">
      <alignment horizontal="left" vertical="center" wrapText="1" indent="1"/>
    </xf>
    <xf numFmtId="41" fontId="15" fillId="3" borderId="46" xfId="4" applyNumberFormat="1" applyFont="1" applyFill="1" applyBorder="1" applyAlignment="1">
      <alignment horizontal="center" vertical="center" wrapText="1"/>
    </xf>
    <xf numFmtId="41" fontId="17" fillId="3" borderId="46" xfId="4" applyNumberFormat="1" applyFont="1" applyFill="1" applyBorder="1" applyAlignment="1">
      <alignment horizontal="center" vertical="center" wrapText="1"/>
    </xf>
    <xf numFmtId="41" fontId="91" fillId="3" borderId="42" xfId="4" applyNumberFormat="1" applyFont="1" applyFill="1" applyBorder="1" applyAlignment="1">
      <alignment horizontal="left" vertical="center" wrapText="1" indent="1"/>
    </xf>
    <xf numFmtId="167" fontId="17" fillId="3" borderId="4" xfId="4" applyNumberFormat="1" applyFont="1" applyFill="1" applyBorder="1" applyAlignment="1">
      <alignment horizontal="center" vertical="center" wrapText="1"/>
    </xf>
    <xf numFmtId="167" fontId="17" fillId="0" borderId="4" xfId="4" applyNumberFormat="1" applyFont="1" applyBorder="1" applyAlignment="1">
      <alignment horizontal="center" vertical="center" wrapText="1"/>
    </xf>
    <xf numFmtId="41" fontId="91" fillId="3" borderId="129" xfId="4" applyNumberFormat="1" applyFont="1" applyFill="1" applyBorder="1" applyAlignment="1">
      <alignment horizontal="left" vertical="center" wrapText="1" indent="1"/>
    </xf>
    <xf numFmtId="167" fontId="81" fillId="3" borderId="28" xfId="4" applyNumberFormat="1" applyFont="1" applyFill="1" applyBorder="1" applyAlignment="1">
      <alignment horizontal="center" vertical="center"/>
    </xf>
    <xf numFmtId="167" fontId="81" fillId="0" borderId="28" xfId="4" applyNumberFormat="1" applyFont="1" applyBorder="1" applyAlignment="1">
      <alignment horizontal="center" vertical="center"/>
    </xf>
    <xf numFmtId="167" fontId="81" fillId="3" borderId="46" xfId="4" applyNumberFormat="1" applyFont="1" applyFill="1" applyBorder="1" applyAlignment="1">
      <alignment horizontal="center" vertical="center"/>
    </xf>
    <xf numFmtId="167" fontId="81" fillId="3" borderId="69" xfId="4" applyNumberFormat="1" applyFont="1" applyFill="1" applyBorder="1" applyAlignment="1">
      <alignment horizontal="center" vertical="center"/>
    </xf>
    <xf numFmtId="167" fontId="81" fillId="3" borderId="17" xfId="4" applyNumberFormat="1" applyFont="1" applyFill="1" applyBorder="1" applyAlignment="1">
      <alignment horizontal="center" vertical="center"/>
    </xf>
    <xf numFmtId="41" fontId="91" fillId="0" borderId="120" xfId="4" applyNumberFormat="1" applyFont="1" applyBorder="1" applyAlignment="1">
      <alignment horizontal="left" vertical="center" wrapText="1" indent="1"/>
    </xf>
    <xf numFmtId="41" fontId="91" fillId="4" borderId="46" xfId="4" applyNumberFormat="1" applyFont="1" applyFill="1" applyBorder="1" applyAlignment="1">
      <alignment horizontal="center" vertical="center"/>
    </xf>
    <xf numFmtId="167" fontId="15" fillId="0" borderId="4" xfId="4" applyNumberFormat="1" applyFont="1" applyFill="1" applyBorder="1" applyAlignment="1">
      <alignment horizontal="center" vertical="center" wrapText="1"/>
    </xf>
    <xf numFmtId="0" fontId="21" fillId="0" borderId="0" xfId="4" applyAlignment="1"/>
    <xf numFmtId="167" fontId="15" fillId="0" borderId="7" xfId="4" applyNumberFormat="1" applyFont="1" applyBorder="1" applyAlignment="1">
      <alignment horizontal="center" vertical="center"/>
    </xf>
    <xf numFmtId="167" fontId="121" fillId="5" borderId="4" xfId="4" applyNumberFormat="1" applyFont="1" applyFill="1" applyBorder="1" applyAlignment="1">
      <alignment horizontal="center" vertical="center"/>
    </xf>
    <xf numFmtId="0" fontId="4" fillId="0" borderId="0" xfId="4" applyFont="1" applyBorder="1" applyAlignment="1">
      <alignment horizontal="right" vertical="center" wrapText="1"/>
    </xf>
    <xf numFmtId="49" fontId="8" fillId="0" borderId="0" xfId="4" applyNumberFormat="1" applyFont="1" applyBorder="1" applyAlignment="1">
      <alignment horizontal="center" vertical="center"/>
    </xf>
    <xf numFmtId="0" fontId="108" fillId="0" borderId="120" xfId="4" applyFont="1" applyBorder="1" applyAlignment="1">
      <alignment horizontal="center" vertical="center"/>
    </xf>
    <xf numFmtId="0" fontId="77" fillId="0" borderId="0" xfId="4" applyFont="1" applyFill="1" applyBorder="1" applyAlignment="1">
      <alignment vertical="center"/>
    </xf>
    <xf numFmtId="0" fontId="21" fillId="0" borderId="120" xfId="4" applyBorder="1" applyAlignment="1">
      <alignment horizontal="center" wrapText="1"/>
    </xf>
    <xf numFmtId="9" fontId="15" fillId="49" borderId="117" xfId="1" applyFont="1" applyFill="1" applyBorder="1" applyAlignment="1">
      <alignment horizontal="center" vertical="center"/>
    </xf>
    <xf numFmtId="167" fontId="15" fillId="49" borderId="118" xfId="4" applyNumberFormat="1" applyFont="1" applyFill="1" applyBorder="1" applyAlignment="1">
      <alignment vertical="center"/>
    </xf>
    <xf numFmtId="9" fontId="15" fillId="3" borderId="133" xfId="1" applyFont="1" applyFill="1" applyBorder="1" applyAlignment="1">
      <alignment horizontal="center" vertical="center"/>
    </xf>
    <xf numFmtId="167" fontId="15" fillId="3" borderId="118" xfId="4" applyNumberFormat="1" applyFont="1" applyFill="1" applyBorder="1" applyAlignment="1">
      <alignment vertical="center"/>
    </xf>
    <xf numFmtId="0" fontId="21" fillId="3" borderId="134" xfId="4" applyFill="1" applyBorder="1"/>
    <xf numFmtId="0" fontId="26" fillId="49" borderId="117" xfId="4" applyFont="1" applyFill="1" applyBorder="1"/>
    <xf numFmtId="0" fontId="26" fillId="49" borderId="118" xfId="4" applyFont="1" applyFill="1" applyBorder="1"/>
    <xf numFmtId="0" fontId="26" fillId="3" borderId="117" xfId="4" applyFont="1" applyFill="1" applyBorder="1"/>
    <xf numFmtId="0" fontId="26" fillId="3" borderId="119" xfId="4" applyFont="1" applyFill="1" applyBorder="1"/>
    <xf numFmtId="0" fontId="26" fillId="49" borderId="132" xfId="4" applyFont="1" applyFill="1" applyBorder="1"/>
    <xf numFmtId="0" fontId="26" fillId="49" borderId="119" xfId="4" applyFont="1" applyFill="1" applyBorder="1"/>
    <xf numFmtId="0" fontId="26" fillId="3" borderId="118" xfId="4" applyFont="1" applyFill="1" applyBorder="1"/>
    <xf numFmtId="0" fontId="26" fillId="3" borderId="135" xfId="4" applyFont="1" applyFill="1" applyBorder="1"/>
    <xf numFmtId="0" fontId="12" fillId="3" borderId="29" xfId="4" applyFont="1" applyFill="1" applyBorder="1" applyAlignment="1">
      <alignment wrapText="1"/>
    </xf>
    <xf numFmtId="0" fontId="12" fillId="3" borderId="134" xfId="4" applyFont="1" applyFill="1" applyBorder="1" applyAlignment="1">
      <alignment wrapText="1"/>
    </xf>
    <xf numFmtId="0" fontId="12" fillId="0" borderId="0" xfId="4" applyFont="1"/>
    <xf numFmtId="0" fontId="26" fillId="49" borderId="133" xfId="4" applyFont="1" applyFill="1" applyBorder="1"/>
    <xf numFmtId="0" fontId="26" fillId="49" borderId="135" xfId="4" applyFont="1" applyFill="1" applyBorder="1"/>
    <xf numFmtId="9" fontId="21" fillId="55" borderId="133" xfId="4" applyNumberFormat="1" applyFill="1" applyBorder="1" applyAlignment="1">
      <alignment vertical="center"/>
    </xf>
    <xf numFmtId="9" fontId="21" fillId="54" borderId="133" xfId="4" applyNumberFormat="1" applyFill="1" applyBorder="1" applyAlignment="1">
      <alignment vertical="center"/>
    </xf>
    <xf numFmtId="9" fontId="21" fillId="55" borderId="118" xfId="4" applyNumberFormat="1" applyFill="1" applyBorder="1" applyAlignment="1">
      <alignment vertical="center"/>
    </xf>
    <xf numFmtId="9" fontId="21" fillId="54" borderId="118" xfId="4" applyNumberFormat="1" applyFill="1" applyBorder="1" applyAlignment="1">
      <alignment vertical="center"/>
    </xf>
    <xf numFmtId="9" fontId="21" fillId="55" borderId="135" xfId="4" applyNumberFormat="1" applyFill="1" applyBorder="1" applyAlignment="1">
      <alignment vertical="center"/>
    </xf>
    <xf numFmtId="9" fontId="21" fillId="54" borderId="135" xfId="4" applyNumberFormat="1" applyFill="1" applyBorder="1" applyAlignment="1">
      <alignment vertical="center"/>
    </xf>
    <xf numFmtId="0" fontId="75" fillId="0" borderId="120" xfId="4" applyFont="1" applyBorder="1" applyAlignment="1">
      <alignment horizontal="center"/>
    </xf>
    <xf numFmtId="0" fontId="26" fillId="3" borderId="139" xfId="4" applyFont="1" applyFill="1" applyBorder="1"/>
    <xf numFmtId="167" fontId="15" fillId="3" borderId="140" xfId="4" applyNumberFormat="1" applyFont="1" applyFill="1" applyBorder="1" applyAlignment="1">
      <alignment vertical="center"/>
    </xf>
    <xf numFmtId="0" fontId="26" fillId="3" borderId="141" xfId="4" applyFont="1" applyFill="1" applyBorder="1"/>
    <xf numFmtId="9" fontId="15" fillId="49" borderId="142" xfId="1" applyFont="1" applyFill="1" applyBorder="1" applyAlignment="1">
      <alignment horizontal="center" vertical="center"/>
    </xf>
    <xf numFmtId="167" fontId="15" fillId="49" borderId="140" xfId="4" applyNumberFormat="1" applyFont="1" applyFill="1" applyBorder="1" applyAlignment="1">
      <alignment vertical="center"/>
    </xf>
    <xf numFmtId="9" fontId="15" fillId="3" borderId="142" xfId="1" applyFont="1" applyFill="1" applyBorder="1" applyAlignment="1">
      <alignment horizontal="center" vertical="center"/>
    </xf>
    <xf numFmtId="9" fontId="15" fillId="3" borderId="118" xfId="1" applyFont="1" applyFill="1" applyBorder="1" applyAlignment="1">
      <alignment vertical="center"/>
    </xf>
    <xf numFmtId="0" fontId="26" fillId="49" borderId="141" xfId="4" applyFont="1" applyFill="1" applyBorder="1"/>
    <xf numFmtId="9" fontId="15" fillId="3" borderId="117" xfId="1" applyFont="1" applyFill="1" applyBorder="1" applyAlignment="1">
      <alignment horizontal="center" vertical="center"/>
    </xf>
    <xf numFmtId="0" fontId="12" fillId="3" borderId="131" xfId="4" applyFont="1" applyFill="1" applyBorder="1" applyAlignment="1">
      <alignment wrapText="1"/>
    </xf>
    <xf numFmtId="0" fontId="21" fillId="3" borderId="131" xfId="4" applyFill="1" applyBorder="1"/>
    <xf numFmtId="167" fontId="15" fillId="3" borderId="135" xfId="4" applyNumberFormat="1" applyFont="1" applyFill="1" applyBorder="1" applyAlignment="1">
      <alignment vertical="center"/>
    </xf>
    <xf numFmtId="9" fontId="21" fillId="55" borderId="120" xfId="4" applyNumberFormat="1" applyFill="1" applyBorder="1" applyAlignment="1">
      <alignment vertical="center"/>
    </xf>
    <xf numFmtId="9" fontId="21" fillId="54" borderId="120" xfId="4" applyNumberFormat="1" applyFill="1" applyBorder="1" applyAlignment="1">
      <alignment vertical="center"/>
    </xf>
    <xf numFmtId="0" fontId="123" fillId="0" borderId="120" xfId="0" applyFont="1" applyBorder="1"/>
    <xf numFmtId="9" fontId="123" fillId="0" borderId="120" xfId="0" applyNumberFormat="1" applyFont="1" applyBorder="1"/>
    <xf numFmtId="41" fontId="17" fillId="3" borderId="4" xfId="4" applyNumberFormat="1" applyFont="1" applyFill="1" applyBorder="1" applyAlignment="1">
      <alignment horizontal="left" vertical="center" wrapText="1" indent="1"/>
    </xf>
    <xf numFmtId="0" fontId="26" fillId="49" borderId="29" xfId="4" applyFont="1" applyFill="1" applyBorder="1"/>
    <xf numFmtId="0" fontId="26" fillId="49" borderId="73" xfId="4" applyFont="1" applyFill="1" applyBorder="1"/>
    <xf numFmtId="1" fontId="104" fillId="2" borderId="120" xfId="4" applyNumberFormat="1" applyFont="1" applyFill="1" applyBorder="1" applyAlignment="1">
      <alignment vertical="center" wrapText="1"/>
    </xf>
    <xf numFmtId="41" fontId="124" fillId="3" borderId="120" xfId="4" applyNumberFormat="1" applyFont="1" applyFill="1" applyBorder="1" applyAlignment="1">
      <alignment horizontal="center" vertical="center" wrapText="1"/>
    </xf>
    <xf numFmtId="0" fontId="12" fillId="0" borderId="0" xfId="4" applyFont="1" applyAlignment="1">
      <alignment horizontal="right"/>
    </xf>
    <xf numFmtId="0" fontId="125" fillId="0" borderId="0" xfId="4" applyFont="1" applyBorder="1" applyAlignment="1">
      <alignment horizontal="right" vertical="center" wrapText="1"/>
    </xf>
    <xf numFmtId="0" fontId="126" fillId="0" borderId="0" xfId="4" applyFont="1" applyBorder="1" applyAlignment="1">
      <alignment horizontal="right" vertical="center" wrapText="1"/>
    </xf>
    <xf numFmtId="1" fontId="125" fillId="2" borderId="120" xfId="4" applyNumberFormat="1" applyFont="1" applyFill="1" applyBorder="1" applyAlignment="1">
      <alignment vertical="center" wrapText="1"/>
    </xf>
    <xf numFmtId="164" fontId="127" fillId="0" borderId="120" xfId="85" applyNumberFormat="1" applyFont="1" applyFill="1" applyBorder="1" applyAlignment="1">
      <alignment horizontal="center" vertical="center" wrapText="1"/>
    </xf>
    <xf numFmtId="0" fontId="128" fillId="0" borderId="0" xfId="4" applyFont="1" applyBorder="1" applyAlignment="1">
      <alignment horizontal="left" vertical="center" wrapText="1"/>
    </xf>
    <xf numFmtId="0" fontId="129" fillId="0" borderId="0" xfId="85" applyFont="1" applyAlignment="1">
      <alignment wrapText="1"/>
    </xf>
    <xf numFmtId="0" fontId="130" fillId="0" borderId="0" xfId="85" applyFont="1"/>
    <xf numFmtId="0" fontId="4" fillId="0" borderId="0" xfId="4" applyFont="1" applyBorder="1" applyAlignment="1">
      <alignment horizontal="right" vertical="center" wrapText="1"/>
    </xf>
    <xf numFmtId="167" fontId="15" fillId="3" borderId="145" xfId="4" applyNumberFormat="1" applyFont="1" applyFill="1" applyBorder="1" applyAlignment="1">
      <alignment vertical="center"/>
    </xf>
    <xf numFmtId="167" fontId="15" fillId="3" borderId="73" xfId="4" applyNumberFormat="1" applyFont="1" applyFill="1" applyBorder="1" applyAlignment="1">
      <alignment vertical="center"/>
    </xf>
    <xf numFmtId="167" fontId="15" fillId="3" borderId="142" xfId="4" applyNumberFormat="1" applyFont="1" applyFill="1" applyBorder="1" applyAlignment="1">
      <alignment horizontal="left" vertical="center" indent="1"/>
    </xf>
    <xf numFmtId="167" fontId="15" fillId="49" borderId="135" xfId="4" applyNumberFormat="1" applyFont="1" applyFill="1" applyBorder="1" applyAlignment="1">
      <alignment vertical="center"/>
    </xf>
    <xf numFmtId="9" fontId="15" fillId="49" borderId="133" xfId="1" applyFont="1" applyFill="1" applyBorder="1" applyAlignment="1">
      <alignment horizontal="center" vertical="center"/>
    </xf>
    <xf numFmtId="9" fontId="15" fillId="49" borderId="118" xfId="1" applyFont="1" applyFill="1" applyBorder="1" applyAlignment="1">
      <alignment horizontal="center" vertical="center"/>
    </xf>
    <xf numFmtId="167" fontId="16" fillId="4" borderId="147" xfId="4" applyNumberFormat="1" applyFont="1" applyFill="1" applyBorder="1" applyAlignment="1">
      <alignment horizontal="center" vertical="center"/>
    </xf>
    <xf numFmtId="0" fontId="0" fillId="0" borderId="0" xfId="0" applyAlignment="1">
      <alignment horizontal="right" wrapText="1"/>
    </xf>
    <xf numFmtId="168" fontId="0" fillId="0" borderId="0" xfId="275" applyNumberFormat="1" applyFont="1" applyAlignment="1">
      <alignment horizontal="left" vertical="center"/>
    </xf>
    <xf numFmtId="0" fontId="0" fillId="0" borderId="120" xfId="0" applyBorder="1" applyAlignment="1">
      <alignment horizontal="center" vertical="center" wrapText="1"/>
    </xf>
    <xf numFmtId="0" fontId="0" fillId="0" borderId="120" xfId="0" applyBorder="1" applyAlignment="1">
      <alignment horizontal="center" vertical="center"/>
    </xf>
    <xf numFmtId="168" fontId="0" fillId="0" borderId="120" xfId="275" applyNumberFormat="1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120" xfId="0" applyBorder="1" applyAlignment="1">
      <alignment wrapText="1"/>
    </xf>
    <xf numFmtId="0" fontId="0" fillId="0" borderId="120" xfId="0" applyBorder="1"/>
    <xf numFmtId="0" fontId="0" fillId="0" borderId="120" xfId="0" applyBorder="1" applyAlignment="1">
      <alignment vertical="center"/>
    </xf>
    <xf numFmtId="171" fontId="0" fillId="0" borderId="120" xfId="275" applyNumberFormat="1" applyFont="1" applyBorder="1"/>
    <xf numFmtId="0" fontId="132" fillId="0" borderId="0" xfId="4" applyFont="1"/>
    <xf numFmtId="0" fontId="132" fillId="0" borderId="0" xfId="4" applyFont="1" applyAlignment="1">
      <alignment horizontal="right"/>
    </xf>
    <xf numFmtId="0" fontId="133" fillId="0" borderId="0" xfId="4" applyFont="1" applyBorder="1" applyAlignment="1">
      <alignment horizontal="right" vertical="center" wrapText="1"/>
    </xf>
    <xf numFmtId="49" fontId="8" fillId="0" borderId="89" xfId="4" applyNumberFormat="1" applyFont="1" applyBorder="1" applyAlignment="1">
      <alignment vertical="center"/>
    </xf>
    <xf numFmtId="49" fontId="95" fillId="0" borderId="89" xfId="4" applyNumberFormat="1" applyFont="1" applyBorder="1" applyAlignment="1">
      <alignment vertical="center"/>
    </xf>
    <xf numFmtId="49" fontId="134" fillId="0" borderId="89" xfId="4" applyNumberFormat="1" applyFont="1" applyBorder="1" applyAlignment="1">
      <alignment vertical="center"/>
    </xf>
    <xf numFmtId="14" fontId="86" fillId="0" borderId="0" xfId="4" applyNumberFormat="1" applyFont="1" applyAlignment="1">
      <alignment horizontal="left"/>
    </xf>
    <xf numFmtId="0" fontId="9" fillId="2" borderId="133" xfId="4" applyNumberFormat="1" applyFont="1" applyFill="1" applyBorder="1" applyAlignment="1">
      <alignment horizontal="center" vertical="center" textRotation="90" wrapText="1"/>
    </xf>
    <xf numFmtId="0" fontId="9" fillId="2" borderId="141" xfId="4" applyNumberFormat="1" applyFont="1" applyFill="1" applyBorder="1" applyAlignment="1">
      <alignment horizontal="center" vertical="center" textRotation="90" wrapText="1"/>
    </xf>
    <xf numFmtId="1" fontId="135" fillId="2" borderId="120" xfId="4" applyNumberFormat="1" applyFont="1" applyFill="1" applyBorder="1" applyAlignment="1">
      <alignment vertical="center" wrapText="1"/>
    </xf>
    <xf numFmtId="1" fontId="11" fillId="2" borderId="120" xfId="4" applyNumberFormat="1" applyFont="1" applyFill="1" applyBorder="1" applyAlignment="1">
      <alignment vertical="center" wrapText="1"/>
    </xf>
    <xf numFmtId="1" fontId="78" fillId="2" borderId="120" xfId="4" applyNumberFormat="1" applyFont="1" applyFill="1" applyBorder="1" applyAlignment="1">
      <alignment vertical="center" wrapText="1"/>
    </xf>
    <xf numFmtId="0" fontId="14" fillId="0" borderId="120" xfId="4" applyFont="1" applyBorder="1" applyAlignment="1">
      <alignment horizontal="center" vertical="center" wrapText="1"/>
    </xf>
    <xf numFmtId="168" fontId="81" fillId="3" borderId="148" xfId="275" applyNumberFormat="1" applyFont="1" applyFill="1" applyBorder="1" applyAlignment="1">
      <alignment horizontal="center" vertical="center" wrapText="1"/>
    </xf>
    <xf numFmtId="168" fontId="81" fillId="3" borderId="149" xfId="275" applyNumberFormat="1" applyFont="1" applyFill="1" applyBorder="1" applyAlignment="1">
      <alignment horizontal="center" vertical="center"/>
    </xf>
    <xf numFmtId="169" fontId="81" fillId="3" borderId="150" xfId="275" applyNumberFormat="1" applyFont="1" applyFill="1" applyBorder="1" applyAlignment="1">
      <alignment horizontal="center" vertical="center"/>
    </xf>
    <xf numFmtId="41" fontId="136" fillId="3" borderId="120" xfId="4" applyNumberFormat="1" applyFont="1" applyFill="1" applyBorder="1" applyAlignment="1">
      <alignment horizontal="center" vertical="center" wrapText="1"/>
    </xf>
    <xf numFmtId="0" fontId="14" fillId="0" borderId="133" xfId="4" applyFont="1" applyBorder="1" applyAlignment="1">
      <alignment horizontal="center" vertical="center" wrapText="1"/>
    </xf>
    <xf numFmtId="168" fontId="81" fillId="3" borderId="151" xfId="275" applyNumberFormat="1" applyFont="1" applyFill="1" applyBorder="1" applyAlignment="1">
      <alignment horizontal="center" vertical="center" wrapText="1"/>
    </xf>
    <xf numFmtId="168" fontId="81" fillId="3" borderId="152" xfId="275" applyNumberFormat="1" applyFont="1" applyFill="1" applyBorder="1" applyAlignment="1">
      <alignment horizontal="center" vertical="center"/>
    </xf>
    <xf numFmtId="169" fontId="81" fillId="3" borderId="153" xfId="275" applyNumberFormat="1" applyFont="1" applyFill="1" applyBorder="1" applyAlignment="1">
      <alignment horizontal="center" vertical="center"/>
    </xf>
    <xf numFmtId="0" fontId="21" fillId="0" borderId="120" xfId="4" applyBorder="1" applyAlignment="1">
      <alignment horizontal="left" vertical="center" textRotation="90" wrapText="1"/>
    </xf>
    <xf numFmtId="0" fontId="137" fillId="0" borderId="0" xfId="4" applyFont="1" applyBorder="1" applyAlignment="1">
      <alignment horizontal="left" vertical="top" wrapText="1"/>
    </xf>
    <xf numFmtId="168" fontId="81" fillId="3" borderId="120" xfId="275" applyNumberFormat="1" applyFont="1" applyFill="1" applyBorder="1" applyAlignment="1">
      <alignment horizontal="center" vertical="center" wrapText="1"/>
    </xf>
    <xf numFmtId="168" fontId="81" fillId="3" borderId="120" xfId="275" applyNumberFormat="1" applyFont="1" applyFill="1" applyBorder="1" applyAlignment="1">
      <alignment horizontal="center" vertical="center"/>
    </xf>
    <xf numFmtId="169" fontId="81" fillId="3" borderId="120" xfId="275" applyNumberFormat="1" applyFont="1" applyFill="1" applyBorder="1" applyAlignment="1">
      <alignment horizontal="center" vertical="center"/>
    </xf>
    <xf numFmtId="167" fontId="16" fillId="4" borderId="135" xfId="4" applyNumberFormat="1" applyFont="1" applyFill="1" applyBorder="1" applyAlignment="1">
      <alignment horizontal="center" vertical="center"/>
    </xf>
    <xf numFmtId="167" fontId="96" fillId="4" borderId="135" xfId="4" applyNumberFormat="1" applyFont="1" applyFill="1" applyBorder="1" applyAlignment="1">
      <alignment horizontal="center" vertical="center"/>
    </xf>
    <xf numFmtId="167" fontId="138" fillId="4" borderId="135" xfId="4" applyNumberFormat="1" applyFont="1" applyFill="1" applyBorder="1" applyAlignment="1">
      <alignment horizontal="center" vertical="center"/>
    </xf>
    <xf numFmtId="167" fontId="103" fillId="4" borderId="135" xfId="4" applyNumberFormat="1" applyFont="1" applyFill="1" applyBorder="1" applyAlignment="1">
      <alignment horizontal="center" vertical="center"/>
    </xf>
    <xf numFmtId="164" fontId="84" fillId="0" borderId="120" xfId="85" applyNumberFormat="1" applyFont="1" applyFill="1" applyBorder="1" applyAlignment="1">
      <alignment horizontal="center" vertical="center" wrapText="1"/>
    </xf>
    <xf numFmtId="164" fontId="99" fillId="0" borderId="120" xfId="85" applyNumberFormat="1" applyFont="1" applyFill="1" applyBorder="1" applyAlignment="1">
      <alignment horizontal="center" vertical="center" wrapText="1"/>
    </xf>
    <xf numFmtId="164" fontId="139" fillId="0" borderId="120" xfId="85" applyNumberFormat="1" applyFont="1" applyFill="1" applyBorder="1" applyAlignment="1">
      <alignment horizontal="center" vertical="center" wrapText="1"/>
    </xf>
    <xf numFmtId="164" fontId="92" fillId="0" borderId="120" xfId="85" applyNumberFormat="1" applyFont="1" applyFill="1" applyBorder="1" applyAlignment="1">
      <alignment horizontal="center" vertical="center" wrapText="1"/>
    </xf>
    <xf numFmtId="164" fontId="97" fillId="0" borderId="120" xfId="85" applyNumberFormat="1" applyFont="1" applyFill="1" applyBorder="1" applyAlignment="1">
      <alignment horizontal="center" vertical="center" wrapText="1"/>
    </xf>
    <xf numFmtId="0" fontId="93" fillId="0" borderId="120" xfId="4" applyFont="1" applyBorder="1"/>
    <xf numFmtId="0" fontId="21" fillId="0" borderId="120" xfId="4" applyFont="1" applyBorder="1" applyAlignment="1">
      <alignment horizontal="center" vertical="center"/>
    </xf>
    <xf numFmtId="0" fontId="137" fillId="0" borderId="0" xfId="4" applyFont="1"/>
    <xf numFmtId="0" fontId="21" fillId="0" borderId="120" xfId="4" applyBorder="1" applyAlignment="1">
      <alignment horizontal="right" vertical="center"/>
    </xf>
    <xf numFmtId="168" fontId="21" fillId="0" borderId="120" xfId="275" applyNumberFormat="1" applyFont="1" applyBorder="1"/>
    <xf numFmtId="49" fontId="8" fillId="0" borderId="2" xfId="4" applyNumberFormat="1" applyFont="1" applyBorder="1" applyAlignment="1">
      <alignment vertical="center"/>
    </xf>
    <xf numFmtId="49" fontId="8" fillId="0" borderId="2" xfId="0" applyNumberFormat="1" applyFont="1" applyBorder="1" applyAlignment="1">
      <alignment vertical="center"/>
    </xf>
    <xf numFmtId="49" fontId="8" fillId="0" borderId="0" xfId="4" applyNumberFormat="1" applyFont="1" applyBorder="1" applyAlignment="1">
      <alignment vertical="center"/>
    </xf>
    <xf numFmtId="0" fontId="89" fillId="0" borderId="0" xfId="4" applyFont="1" applyAlignment="1">
      <alignment horizontal="right"/>
    </xf>
    <xf numFmtId="0" fontId="122" fillId="3" borderId="133" xfId="4" applyFont="1" applyFill="1" applyBorder="1" applyAlignment="1">
      <alignment horizontal="left" vertical="center" wrapText="1" indent="1"/>
    </xf>
    <xf numFmtId="0" fontId="122" fillId="3" borderId="118" xfId="4" applyFont="1" applyFill="1" applyBorder="1" applyAlignment="1">
      <alignment horizontal="left" vertical="center" wrapText="1" indent="1"/>
    </xf>
    <xf numFmtId="0" fontId="122" fillId="3" borderId="135" xfId="4" applyFont="1" applyFill="1" applyBorder="1" applyAlignment="1">
      <alignment horizontal="left" vertical="center" wrapText="1" indent="1"/>
    </xf>
    <xf numFmtId="0" fontId="122" fillId="49" borderId="133" xfId="4" applyFont="1" applyFill="1" applyBorder="1" applyAlignment="1">
      <alignment horizontal="left" vertical="center" wrapText="1" indent="1"/>
    </xf>
    <xf numFmtId="0" fontId="122" fillId="49" borderId="118" xfId="4" applyFont="1" applyFill="1" applyBorder="1" applyAlignment="1">
      <alignment horizontal="left" vertical="center" wrapText="1" indent="1"/>
    </xf>
    <xf numFmtId="0" fontId="122" fillId="49" borderId="135" xfId="4" applyFont="1" applyFill="1" applyBorder="1" applyAlignment="1">
      <alignment horizontal="left" vertical="center" wrapText="1" indent="1"/>
    </xf>
    <xf numFmtId="167" fontId="15" fillId="3" borderId="117" xfId="4" applyNumberFormat="1" applyFont="1" applyFill="1" applyBorder="1" applyAlignment="1">
      <alignment horizontal="center" vertical="center"/>
    </xf>
    <xf numFmtId="167" fontId="15" fillId="3" borderId="118" xfId="4" applyNumberFormat="1" applyFont="1" applyFill="1" applyBorder="1" applyAlignment="1">
      <alignment horizontal="center" vertical="center"/>
    </xf>
    <xf numFmtId="167" fontId="15" fillId="3" borderId="135" xfId="4" applyNumberFormat="1" applyFont="1" applyFill="1" applyBorder="1" applyAlignment="1">
      <alignment horizontal="center" vertical="center"/>
    </xf>
    <xf numFmtId="167" fontId="15" fillId="3" borderId="29" xfId="4" applyNumberFormat="1" applyFont="1" applyFill="1" applyBorder="1" applyAlignment="1">
      <alignment horizontal="center" vertical="center"/>
    </xf>
    <xf numFmtId="167" fontId="15" fillId="49" borderId="130" xfId="4" applyNumberFormat="1" applyFont="1" applyFill="1" applyBorder="1" applyAlignment="1">
      <alignment horizontal="center" vertical="center"/>
    </xf>
    <xf numFmtId="167" fontId="15" fillId="49" borderId="29" xfId="4" applyNumberFormat="1" applyFont="1" applyFill="1" applyBorder="1" applyAlignment="1">
      <alignment horizontal="center" vertical="center"/>
    </xf>
    <xf numFmtId="167" fontId="15" fillId="49" borderId="131" xfId="4" applyNumberFormat="1" applyFont="1" applyFill="1" applyBorder="1" applyAlignment="1">
      <alignment horizontal="center" vertical="center"/>
    </xf>
    <xf numFmtId="167" fontId="15" fillId="49" borderId="134" xfId="4" applyNumberFormat="1" applyFont="1" applyFill="1" applyBorder="1" applyAlignment="1">
      <alignment horizontal="center" vertical="center"/>
    </xf>
    <xf numFmtId="0" fontId="122" fillId="49" borderId="139" xfId="4" applyFont="1" applyFill="1" applyBorder="1" applyAlignment="1">
      <alignment horizontal="left" vertical="center" wrapText="1" indent="1"/>
    </xf>
    <xf numFmtId="0" fontId="122" fillId="49" borderId="119" xfId="4" applyFont="1" applyFill="1" applyBorder="1" applyAlignment="1">
      <alignment horizontal="left" vertical="center" wrapText="1" indent="1"/>
    </xf>
    <xf numFmtId="0" fontId="75" fillId="0" borderId="136" xfId="4" applyFont="1" applyBorder="1" applyAlignment="1">
      <alignment horizontal="center" vertical="center"/>
    </xf>
    <xf numFmtId="0" fontId="75" fillId="0" borderId="137" xfId="4" applyFont="1" applyBorder="1" applyAlignment="1">
      <alignment horizontal="center" vertical="center"/>
    </xf>
    <xf numFmtId="0" fontId="122" fillId="3" borderId="117" xfId="4" applyFont="1" applyFill="1" applyBorder="1" applyAlignment="1">
      <alignment horizontal="left" wrapText="1" indent="1"/>
    </xf>
    <xf numFmtId="0" fontId="122" fillId="3" borderId="135" xfId="4" applyFont="1" applyFill="1" applyBorder="1" applyAlignment="1">
      <alignment horizontal="left" wrapText="1" indent="1"/>
    </xf>
    <xf numFmtId="0" fontId="0" fillId="0" borderId="117" xfId="0" applyBorder="1" applyAlignment="1">
      <alignment horizontal="center" vertical="center"/>
    </xf>
    <xf numFmtId="0" fontId="0" fillId="0" borderId="118" xfId="0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9" fillId="2" borderId="57" xfId="4" applyNumberFormat="1" applyFont="1" applyFill="1" applyBorder="1" applyAlignment="1">
      <alignment horizontal="center" vertical="center" wrapText="1"/>
    </xf>
    <xf numFmtId="0" fontId="9" fillId="2" borderId="86" xfId="4" applyNumberFormat="1" applyFont="1" applyFill="1" applyBorder="1" applyAlignment="1">
      <alignment horizontal="center" vertical="center" wrapText="1"/>
    </xf>
    <xf numFmtId="0" fontId="9" fillId="2" borderId="87" xfId="4" applyNumberFormat="1" applyFont="1" applyFill="1" applyBorder="1" applyAlignment="1">
      <alignment horizontal="center" vertical="center" wrapText="1"/>
    </xf>
    <xf numFmtId="0" fontId="9" fillId="2" borderId="88" xfId="4" applyNumberFormat="1" applyFont="1" applyFill="1" applyBorder="1" applyAlignment="1">
      <alignment horizontal="center" vertical="center" wrapText="1"/>
    </xf>
    <xf numFmtId="0" fontId="9" fillId="2" borderId="72" xfId="4" applyNumberFormat="1" applyFont="1" applyFill="1" applyBorder="1" applyAlignment="1">
      <alignment horizontal="center" vertical="center" wrapText="1"/>
    </xf>
    <xf numFmtId="0" fontId="9" fillId="2" borderId="89" xfId="4" applyNumberFormat="1" applyFont="1" applyFill="1" applyBorder="1" applyAlignment="1">
      <alignment horizontal="center" vertical="center" wrapText="1"/>
    </xf>
    <xf numFmtId="0" fontId="9" fillId="2" borderId="85" xfId="4" applyNumberFormat="1" applyFont="1" applyFill="1" applyBorder="1" applyAlignment="1">
      <alignment horizontal="center" vertical="center" wrapText="1"/>
    </xf>
    <xf numFmtId="1" fontId="10" fillId="2" borderId="57" xfId="4" applyNumberFormat="1" applyFont="1" applyFill="1" applyBorder="1" applyAlignment="1">
      <alignment horizontal="center" vertical="center" wrapText="1"/>
    </xf>
    <xf numFmtId="1" fontId="94" fillId="2" borderId="57" xfId="4" applyNumberFormat="1" applyFont="1" applyFill="1" applyBorder="1" applyAlignment="1">
      <alignment horizontal="center" vertical="center" wrapText="1"/>
    </xf>
    <xf numFmtId="0" fontId="3" fillId="0" borderId="0" xfId="4" applyFont="1" applyBorder="1" applyAlignment="1">
      <alignment horizontal="right" vertical="center" wrapText="1"/>
    </xf>
    <xf numFmtId="0" fontId="4" fillId="0" borderId="0" xfId="4" applyFont="1" applyBorder="1" applyAlignment="1">
      <alignment horizontal="right" vertical="center" wrapText="1"/>
    </xf>
    <xf numFmtId="1" fontId="10" fillId="2" borderId="120" xfId="4" applyNumberFormat="1" applyFont="1" applyFill="1" applyBorder="1" applyAlignment="1">
      <alignment horizontal="center" vertical="center" wrapText="1"/>
    </xf>
    <xf numFmtId="1" fontId="94" fillId="2" borderId="120" xfId="4" applyNumberFormat="1" applyFont="1" applyFill="1" applyBorder="1" applyAlignment="1">
      <alignment horizontal="center" vertical="center" wrapText="1"/>
    </xf>
    <xf numFmtId="0" fontId="9" fillId="2" borderId="120" xfId="4" applyNumberFormat="1" applyFont="1" applyFill="1" applyBorder="1" applyAlignment="1">
      <alignment horizontal="center" vertical="center" wrapText="1"/>
    </xf>
    <xf numFmtId="167" fontId="80" fillId="3" borderId="125" xfId="4" applyNumberFormat="1" applyFont="1" applyFill="1" applyBorder="1" applyAlignment="1">
      <alignment horizontal="right" vertical="center"/>
    </xf>
    <xf numFmtId="0" fontId="21" fillId="0" borderId="117" xfId="4" applyBorder="1" applyAlignment="1">
      <alignment horizontal="left" vertical="center" wrapText="1"/>
    </xf>
    <xf numFmtId="0" fontId="21" fillId="0" borderId="73" xfId="4" applyBorder="1" applyAlignment="1">
      <alignment horizontal="left" vertical="center" wrapText="1"/>
    </xf>
    <xf numFmtId="0" fontId="14" fillId="0" borderId="126" xfId="4" applyFont="1" applyBorder="1" applyAlignment="1">
      <alignment horizontal="center" vertical="top" textRotation="90" wrapText="1"/>
    </xf>
    <xf numFmtId="0" fontId="14" fillId="0" borderId="120" xfId="4" applyFont="1" applyBorder="1" applyAlignment="1">
      <alignment horizontal="center" vertical="top" textRotation="90"/>
    </xf>
    <xf numFmtId="0" fontId="14" fillId="0" borderId="125" xfId="4" applyFont="1" applyBorder="1" applyAlignment="1">
      <alignment horizontal="center" vertical="top" textRotation="90"/>
    </xf>
    <xf numFmtId="0" fontId="14" fillId="0" borderId="46" xfId="4" applyFont="1" applyBorder="1" applyAlignment="1">
      <alignment horizontal="center" vertical="top" textRotation="90"/>
    </xf>
    <xf numFmtId="0" fontId="14" fillId="0" borderId="73" xfId="4" applyFont="1" applyBorder="1" applyAlignment="1">
      <alignment horizontal="center" vertical="top" wrapText="1"/>
    </xf>
    <xf numFmtId="0" fontId="14" fillId="0" borderId="120" xfId="4" applyFont="1" applyBorder="1" applyAlignment="1">
      <alignment horizontal="center" vertical="top"/>
    </xf>
    <xf numFmtId="1" fontId="118" fillId="56" borderId="120" xfId="4" applyNumberFormat="1" applyFont="1" applyFill="1" applyBorder="1" applyAlignment="1">
      <alignment horizontal="center" vertical="center" wrapText="1"/>
    </xf>
    <xf numFmtId="0" fontId="14" fillId="0" borderId="125" xfId="4" applyFont="1" applyBorder="1" applyAlignment="1">
      <alignment horizontal="center" vertical="top"/>
    </xf>
    <xf numFmtId="0" fontId="14" fillId="0" borderId="126" xfId="4" applyFont="1" applyBorder="1" applyAlignment="1">
      <alignment horizontal="center" vertical="top" wrapText="1"/>
    </xf>
    <xf numFmtId="0" fontId="14" fillId="0" borderId="120" xfId="4" applyFont="1" applyBorder="1" applyAlignment="1">
      <alignment horizontal="center" vertical="top" wrapText="1"/>
    </xf>
    <xf numFmtId="0" fontId="14" fillId="0" borderId="120" xfId="4" applyFont="1" applyBorder="1" applyAlignment="1">
      <alignment horizontal="center" vertical="top" textRotation="90" wrapText="1"/>
    </xf>
    <xf numFmtId="0" fontId="14" fillId="0" borderId="73" xfId="4" applyFont="1" applyBorder="1" applyAlignment="1">
      <alignment horizontal="center" vertical="top" textRotation="90" wrapText="1"/>
    </xf>
    <xf numFmtId="167" fontId="80" fillId="3" borderId="120" xfId="4" applyNumberFormat="1" applyFont="1" applyFill="1" applyBorder="1" applyAlignment="1">
      <alignment horizontal="right" vertical="center"/>
    </xf>
    <xf numFmtId="0" fontId="14" fillId="0" borderId="46" xfId="4" applyFont="1" applyBorder="1" applyAlignment="1">
      <alignment horizontal="center" vertical="top"/>
    </xf>
    <xf numFmtId="167" fontId="80" fillId="0" borderId="46" xfId="4" applyNumberFormat="1" applyFont="1" applyFill="1" applyBorder="1" applyAlignment="1">
      <alignment horizontal="right" vertical="center"/>
    </xf>
    <xf numFmtId="0" fontId="21" fillId="0" borderId="118" xfId="4" applyBorder="1" applyAlignment="1">
      <alignment horizontal="left" vertical="center" wrapText="1"/>
    </xf>
    <xf numFmtId="0" fontId="21" fillId="0" borderId="127" xfId="4" applyBorder="1" applyAlignment="1">
      <alignment horizontal="left" vertical="center" wrapText="1"/>
    </xf>
    <xf numFmtId="167" fontId="80" fillId="0" borderId="125" xfId="4" applyNumberFormat="1" applyFont="1" applyFill="1" applyBorder="1" applyAlignment="1">
      <alignment horizontal="right" vertical="center"/>
    </xf>
    <xf numFmtId="0" fontId="14" fillId="0" borderId="49" xfId="4" applyFont="1" applyBorder="1" applyAlignment="1">
      <alignment horizontal="center" vertical="top"/>
    </xf>
    <xf numFmtId="0" fontId="14" fillId="0" borderId="10" xfId="4" applyFont="1" applyBorder="1" applyAlignment="1">
      <alignment horizontal="center" vertical="top"/>
    </xf>
    <xf numFmtId="0" fontId="14" fillId="0" borderId="47" xfId="4" applyFont="1" applyBorder="1" applyAlignment="1">
      <alignment horizontal="center" vertical="top"/>
    </xf>
    <xf numFmtId="0" fontId="21" fillId="0" borderId="50" xfId="4" applyBorder="1" applyAlignment="1">
      <alignment horizontal="center" vertical="center" wrapText="1"/>
    </xf>
    <xf numFmtId="0" fontId="21" fillId="0" borderId="14" xfId="4" applyBorder="1" applyAlignment="1">
      <alignment horizontal="center" vertical="center" wrapText="1"/>
    </xf>
    <xf numFmtId="0" fontId="21" fillId="0" borderId="54" xfId="4" applyBorder="1" applyAlignment="1">
      <alignment horizontal="center" vertical="center" wrapText="1"/>
    </xf>
    <xf numFmtId="0" fontId="14" fillId="0" borderId="15" xfId="4" applyFont="1" applyBorder="1" applyAlignment="1">
      <alignment horizontal="center" vertical="top"/>
    </xf>
    <xf numFmtId="0" fontId="14" fillId="0" borderId="56" xfId="4" applyFont="1" applyBorder="1" applyAlignment="1">
      <alignment horizontal="center" vertical="top"/>
    </xf>
    <xf numFmtId="0" fontId="21" fillId="0" borderId="16" xfId="4" applyBorder="1" applyAlignment="1">
      <alignment horizontal="center" vertical="center" wrapText="1"/>
    </xf>
    <xf numFmtId="0" fontId="21" fillId="0" borderId="55" xfId="4" applyBorder="1" applyAlignment="1">
      <alignment horizontal="center" vertical="center" wrapText="1"/>
    </xf>
    <xf numFmtId="49" fontId="8" fillId="0" borderId="0" xfId="4" applyNumberFormat="1" applyFont="1" applyBorder="1" applyAlignment="1">
      <alignment horizontal="center" vertical="center"/>
    </xf>
    <xf numFmtId="0" fontId="21" fillId="0" borderId="3" xfId="4" applyBorder="1" applyAlignment="1">
      <alignment horizontal="center" vertical="center" wrapText="1"/>
    </xf>
    <xf numFmtId="0" fontId="21" fillId="0" borderId="5" xfId="4" applyBorder="1" applyAlignment="1">
      <alignment horizontal="center" vertical="center" wrapText="1"/>
    </xf>
    <xf numFmtId="0" fontId="14" fillId="0" borderId="69" xfId="4" applyFont="1" applyBorder="1" applyAlignment="1">
      <alignment horizontal="center" vertical="top"/>
    </xf>
    <xf numFmtId="0" fontId="14" fillId="0" borderId="57" xfId="4" applyFont="1" applyBorder="1" applyAlignment="1">
      <alignment horizontal="center" vertical="top"/>
    </xf>
    <xf numFmtId="0" fontId="14" fillId="0" borderId="93" xfId="4" applyFont="1" applyBorder="1" applyAlignment="1">
      <alignment horizontal="center" vertical="top"/>
    </xf>
    <xf numFmtId="0" fontId="21" fillId="0" borderId="69" xfId="4" applyBorder="1" applyAlignment="1">
      <alignment horizontal="center" vertical="center" wrapText="1"/>
    </xf>
    <xf numFmtId="0" fontId="21" fillId="0" borderId="57" xfId="4" applyBorder="1" applyAlignment="1">
      <alignment horizontal="center" vertical="center" wrapText="1"/>
    </xf>
    <xf numFmtId="0" fontId="21" fillId="0" borderId="93" xfId="4" applyBorder="1" applyAlignment="1">
      <alignment horizontal="center" vertical="center" wrapText="1"/>
    </xf>
    <xf numFmtId="0" fontId="77" fillId="0" borderId="0" xfId="4" applyFont="1" applyFill="1" applyBorder="1" applyAlignment="1">
      <alignment vertical="center" wrapText="1"/>
    </xf>
    <xf numFmtId="0" fontId="77" fillId="0" borderId="0" xfId="4" applyFont="1" applyFill="1" applyBorder="1" applyAlignment="1">
      <alignment vertical="center"/>
    </xf>
    <xf numFmtId="0" fontId="77" fillId="0" borderId="0" xfId="4" applyFont="1" applyFill="1" applyBorder="1" applyAlignment="1">
      <alignment horizontal="left" vertical="center" wrapText="1"/>
    </xf>
    <xf numFmtId="0" fontId="75" fillId="0" borderId="117" xfId="4" applyFont="1" applyBorder="1" applyAlignment="1">
      <alignment horizontal="center" vertical="center"/>
    </xf>
    <xf numFmtId="0" fontId="75" fillId="0" borderId="73" xfId="4" applyFont="1" applyBorder="1" applyAlignment="1">
      <alignment horizontal="center" vertical="center"/>
    </xf>
    <xf numFmtId="0" fontId="21" fillId="54" borderId="120" xfId="4" applyFill="1" applyBorder="1" applyAlignment="1">
      <alignment horizontal="center"/>
    </xf>
    <xf numFmtId="0" fontId="21" fillId="0" borderId="120" xfId="4" applyBorder="1" applyAlignment="1">
      <alignment horizontal="center" vertical="center" wrapText="1"/>
    </xf>
    <xf numFmtId="0" fontId="21" fillId="0" borderId="120" xfId="4" applyBorder="1" applyAlignment="1">
      <alignment horizontal="center"/>
    </xf>
    <xf numFmtId="0" fontId="75" fillId="0" borderId="120" xfId="4" applyFont="1" applyBorder="1" applyAlignment="1">
      <alignment horizontal="center" vertical="top"/>
    </xf>
    <xf numFmtId="0" fontId="108" fillId="0" borderId="120" xfId="4" applyFont="1" applyBorder="1" applyAlignment="1">
      <alignment horizontal="center" vertical="center"/>
    </xf>
    <xf numFmtId="0" fontId="14" fillId="0" borderId="28" xfId="4" applyFont="1" applyBorder="1" applyAlignment="1">
      <alignment horizontal="center" vertical="top"/>
    </xf>
    <xf numFmtId="0" fontId="21" fillId="0" borderId="69" xfId="4" applyBorder="1" applyAlignment="1">
      <alignment horizontal="left" vertical="top" wrapText="1"/>
    </xf>
    <xf numFmtId="0" fontId="21" fillId="0" borderId="28" xfId="4" applyBorder="1" applyAlignment="1">
      <alignment horizontal="left" vertical="top" wrapText="1"/>
    </xf>
    <xf numFmtId="0" fontId="21" fillId="0" borderId="46" xfId="4" applyBorder="1" applyAlignment="1">
      <alignment horizontal="left" vertical="top" wrapText="1"/>
    </xf>
    <xf numFmtId="167" fontId="15" fillId="0" borderId="4" xfId="4" applyNumberFormat="1" applyFont="1" applyBorder="1" applyAlignment="1">
      <alignment horizontal="center" vertical="center" wrapText="1"/>
    </xf>
    <xf numFmtId="0" fontId="14" fillId="0" borderId="17" xfId="4" applyFont="1" applyBorder="1" applyAlignment="1">
      <alignment horizontal="center" vertical="top"/>
    </xf>
    <xf numFmtId="0" fontId="21" fillId="0" borderId="17" xfId="4" applyBorder="1" applyAlignment="1">
      <alignment horizontal="left" vertical="top" wrapText="1"/>
    </xf>
    <xf numFmtId="0" fontId="9" fillId="2" borderId="4" xfId="4" applyNumberFormat="1" applyFont="1" applyFill="1" applyBorder="1" applyAlignment="1">
      <alignment horizontal="center" vertical="center" wrapText="1"/>
    </xf>
    <xf numFmtId="0" fontId="9" fillId="2" borderId="115" xfId="4" applyNumberFormat="1" applyFont="1" applyFill="1" applyBorder="1" applyAlignment="1">
      <alignment horizontal="center" vertical="center" wrapText="1"/>
    </xf>
    <xf numFmtId="0" fontId="9" fillId="2" borderId="112" xfId="4" applyNumberFormat="1" applyFont="1" applyFill="1" applyBorder="1" applyAlignment="1">
      <alignment horizontal="center" vertical="center" wrapText="1"/>
    </xf>
    <xf numFmtId="0" fontId="21" fillId="0" borderId="28" xfId="4" applyBorder="1" applyAlignment="1">
      <alignment horizontal="center" vertical="center" wrapText="1"/>
    </xf>
    <xf numFmtId="0" fontId="21" fillId="0" borderId="46" xfId="4" applyBorder="1" applyAlignment="1">
      <alignment horizontal="center" vertical="center" wrapText="1"/>
    </xf>
    <xf numFmtId="1" fontId="94" fillId="2" borderId="128" xfId="4" applyNumberFormat="1" applyFont="1" applyFill="1" applyBorder="1" applyAlignment="1">
      <alignment horizontal="center" vertical="center" wrapText="1"/>
    </xf>
    <xf numFmtId="167" fontId="15" fillId="0" borderId="7" xfId="4" applyNumberFormat="1" applyFont="1" applyBorder="1" applyAlignment="1">
      <alignment horizontal="center" vertical="center" wrapText="1"/>
    </xf>
    <xf numFmtId="0" fontId="21" fillId="0" borderId="120" xfId="4" applyBorder="1" applyAlignment="1">
      <alignment horizontal="center" wrapText="1"/>
    </xf>
    <xf numFmtId="167" fontId="80" fillId="0" borderId="78" xfId="4" applyNumberFormat="1" applyFont="1" applyFill="1" applyBorder="1" applyAlignment="1">
      <alignment horizontal="left" vertical="center" wrapText="1" indent="1"/>
    </xf>
    <xf numFmtId="167" fontId="80" fillId="0" borderId="5" xfId="4" applyNumberFormat="1" applyFont="1" applyFill="1" applyBorder="1" applyAlignment="1">
      <alignment horizontal="left" vertical="center" wrapText="1" indent="1"/>
    </xf>
    <xf numFmtId="41" fontId="80" fillId="0" borderId="31" xfId="274" applyNumberFormat="1" applyFont="1" applyFill="1" applyBorder="1" applyAlignment="1">
      <alignment horizontal="center" vertical="center"/>
    </xf>
    <xf numFmtId="41" fontId="80" fillId="0" borderId="5" xfId="274" applyNumberFormat="1" applyFont="1" applyFill="1" applyBorder="1" applyAlignment="1">
      <alignment horizontal="center" vertical="center"/>
    </xf>
    <xf numFmtId="41" fontId="80" fillId="0" borderId="78" xfId="4" applyNumberFormat="1" applyFont="1" applyFill="1" applyBorder="1" applyAlignment="1">
      <alignment horizontal="center" vertical="center"/>
    </xf>
    <xf numFmtId="41" fontId="80" fillId="0" borderId="5" xfId="4" applyNumberFormat="1" applyFont="1" applyFill="1" applyBorder="1" applyAlignment="1">
      <alignment horizontal="center" vertical="center"/>
    </xf>
    <xf numFmtId="167" fontId="15" fillId="3" borderId="33" xfId="4" applyNumberFormat="1" applyFont="1" applyFill="1" applyBorder="1" applyAlignment="1">
      <alignment horizontal="left" vertical="center" indent="1"/>
    </xf>
    <xf numFmtId="167" fontId="15" fillId="3" borderId="35" xfId="4" applyNumberFormat="1" applyFont="1" applyFill="1" applyBorder="1" applyAlignment="1">
      <alignment horizontal="left" vertical="center" indent="1"/>
    </xf>
    <xf numFmtId="41" fontId="15" fillId="3" borderId="31" xfId="274" applyNumberFormat="1" applyFont="1" applyFill="1" applyBorder="1" applyAlignment="1">
      <alignment horizontal="center" vertical="center"/>
    </xf>
    <xf numFmtId="41" fontId="15" fillId="3" borderId="7" xfId="274" applyNumberFormat="1" applyFont="1" applyFill="1" applyBorder="1" applyAlignment="1">
      <alignment horizontal="center" vertical="center"/>
    </xf>
    <xf numFmtId="41" fontId="15" fillId="3" borderId="78" xfId="4" applyNumberFormat="1" applyFont="1" applyFill="1" applyBorder="1" applyAlignment="1">
      <alignment horizontal="center" vertical="center"/>
    </xf>
    <xf numFmtId="41" fontId="15" fillId="3" borderId="95" xfId="4" applyNumberFormat="1" applyFont="1" applyFill="1" applyBorder="1" applyAlignment="1">
      <alignment horizontal="center" vertical="center"/>
    </xf>
    <xf numFmtId="41" fontId="15" fillId="0" borderId="31" xfId="274" applyNumberFormat="1" applyFont="1" applyFill="1" applyBorder="1" applyAlignment="1">
      <alignment horizontal="center" vertical="center"/>
    </xf>
    <xf numFmtId="41" fontId="15" fillId="0" borderId="7" xfId="274" applyNumberFormat="1" applyFont="1" applyFill="1" applyBorder="1" applyAlignment="1">
      <alignment horizontal="center" vertical="center"/>
    </xf>
    <xf numFmtId="41" fontId="15" fillId="0" borderId="78" xfId="4" applyNumberFormat="1" applyFont="1" applyFill="1" applyBorder="1" applyAlignment="1">
      <alignment horizontal="center" vertical="center"/>
    </xf>
    <xf numFmtId="41" fontId="15" fillId="0" borderId="95" xfId="4" applyNumberFormat="1" applyFont="1" applyFill="1" applyBorder="1" applyAlignment="1">
      <alignment horizontal="center" vertical="center"/>
    </xf>
    <xf numFmtId="0" fontId="14" fillId="0" borderId="3" xfId="4" applyFont="1" applyBorder="1" applyAlignment="1">
      <alignment horizontal="center" vertical="top"/>
    </xf>
    <xf numFmtId="0" fontId="14" fillId="0" borderId="5" xfId="4" applyFont="1" applyBorder="1" applyAlignment="1">
      <alignment horizontal="center" vertical="top"/>
    </xf>
    <xf numFmtId="167" fontId="15" fillId="0" borderId="38" xfId="4" applyNumberFormat="1" applyFont="1" applyFill="1" applyBorder="1" applyAlignment="1">
      <alignment horizontal="left" vertical="center" indent="1"/>
    </xf>
    <xf numFmtId="167" fontId="15" fillId="0" borderId="35" xfId="4" applyNumberFormat="1" applyFont="1" applyFill="1" applyBorder="1" applyAlignment="1">
      <alignment horizontal="left" vertical="center" indent="1"/>
    </xf>
    <xf numFmtId="41" fontId="15" fillId="0" borderId="3" xfId="274" applyNumberFormat="1" applyFont="1" applyFill="1" applyBorder="1" applyAlignment="1">
      <alignment horizontal="center" vertical="center"/>
    </xf>
    <xf numFmtId="41" fontId="15" fillId="0" borderId="67" xfId="4" applyNumberFormat="1" applyFont="1" applyFill="1" applyBorder="1" applyAlignment="1">
      <alignment horizontal="center" vertical="center"/>
    </xf>
    <xf numFmtId="167" fontId="80" fillId="3" borderId="78" xfId="4" applyNumberFormat="1" applyFont="1" applyFill="1" applyBorder="1" applyAlignment="1">
      <alignment horizontal="left" vertical="center" wrapText="1" indent="1"/>
    </xf>
    <xf numFmtId="167" fontId="80" fillId="3" borderId="5" xfId="4" applyNumberFormat="1" applyFont="1" applyFill="1" applyBorder="1" applyAlignment="1">
      <alignment horizontal="left" vertical="center" wrapText="1" indent="1"/>
    </xf>
    <xf numFmtId="41" fontId="80" fillId="3" borderId="31" xfId="274" applyNumberFormat="1" applyFont="1" applyFill="1" applyBorder="1" applyAlignment="1">
      <alignment horizontal="center" vertical="center"/>
    </xf>
    <xf numFmtId="41" fontId="80" fillId="3" borderId="5" xfId="274" applyNumberFormat="1" applyFont="1" applyFill="1" applyBorder="1" applyAlignment="1">
      <alignment horizontal="center" vertical="center"/>
    </xf>
    <xf numFmtId="41" fontId="80" fillId="3" borderId="78" xfId="4" applyNumberFormat="1" applyFont="1" applyFill="1" applyBorder="1" applyAlignment="1">
      <alignment horizontal="center" vertical="center"/>
    </xf>
    <xf numFmtId="41" fontId="80" fillId="3" borderId="5" xfId="4" applyNumberFormat="1" applyFont="1" applyFill="1" applyBorder="1" applyAlignment="1">
      <alignment horizontal="center" vertical="center"/>
    </xf>
    <xf numFmtId="167" fontId="15" fillId="3" borderId="38" xfId="4" applyNumberFormat="1" applyFont="1" applyFill="1" applyBorder="1" applyAlignment="1">
      <alignment horizontal="left" vertical="center" indent="1"/>
    </xf>
    <xf numFmtId="41" fontId="15" fillId="3" borderId="3" xfId="274" applyNumberFormat="1" applyFont="1" applyFill="1" applyBorder="1" applyAlignment="1">
      <alignment horizontal="center" vertical="center"/>
    </xf>
    <xf numFmtId="41" fontId="15" fillId="3" borderId="67" xfId="4" applyNumberFormat="1" applyFont="1" applyFill="1" applyBorder="1" applyAlignment="1">
      <alignment horizontal="center" vertical="center"/>
    </xf>
    <xf numFmtId="167" fontId="80" fillId="0" borderId="123" xfId="4" applyNumberFormat="1" applyFont="1" applyFill="1" applyBorder="1" applyAlignment="1">
      <alignment horizontal="left" vertical="center" indent="1"/>
    </xf>
    <xf numFmtId="167" fontId="80" fillId="0" borderId="5" xfId="4" applyNumberFormat="1" applyFont="1" applyFill="1" applyBorder="1" applyAlignment="1">
      <alignment horizontal="left" vertical="center" indent="1"/>
    </xf>
    <xf numFmtId="167" fontId="15" fillId="0" borderId="33" xfId="4" applyNumberFormat="1" applyFont="1" applyFill="1" applyBorder="1" applyAlignment="1">
      <alignment horizontal="left" vertical="center" indent="1"/>
    </xf>
    <xf numFmtId="0" fontId="14" fillId="0" borderId="31" xfId="4" applyFont="1" applyBorder="1" applyAlignment="1">
      <alignment horizontal="center" vertical="top"/>
    </xf>
    <xf numFmtId="0" fontId="21" fillId="0" borderId="31" xfId="4" applyBorder="1" applyAlignment="1">
      <alignment horizontal="center" vertical="center" wrapText="1"/>
    </xf>
    <xf numFmtId="0" fontId="14" fillId="0" borderId="105" xfId="4" applyFont="1" applyBorder="1" applyAlignment="1">
      <alignment horizontal="center" vertical="top"/>
    </xf>
    <xf numFmtId="0" fontId="14" fillId="0" borderId="106" xfId="4" applyFont="1" applyBorder="1" applyAlignment="1">
      <alignment horizontal="center" vertical="top"/>
    </xf>
    <xf numFmtId="0" fontId="14" fillId="0" borderId="29" xfId="4" applyFont="1" applyBorder="1" applyAlignment="1">
      <alignment horizontal="center" vertical="top"/>
    </xf>
    <xf numFmtId="0" fontId="14" fillId="0" borderId="41" xfId="4" applyFont="1" applyBorder="1" applyAlignment="1">
      <alignment horizontal="center" vertical="top"/>
    </xf>
    <xf numFmtId="0" fontId="21" fillId="0" borderId="39" xfId="4" applyBorder="1" applyAlignment="1">
      <alignment horizontal="left" vertical="top" wrapText="1"/>
    </xf>
    <xf numFmtId="0" fontId="21" fillId="0" borderId="40" xfId="4" applyBorder="1" applyAlignment="1">
      <alignment horizontal="left" vertical="top" wrapText="1"/>
    </xf>
    <xf numFmtId="0" fontId="21" fillId="0" borderId="37" xfId="4" applyBorder="1" applyAlignment="1">
      <alignment horizontal="left" vertical="top" wrapText="1"/>
    </xf>
    <xf numFmtId="0" fontId="14" fillId="0" borderId="96" xfId="4" applyFont="1" applyBorder="1" applyAlignment="1">
      <alignment horizontal="center" vertical="top"/>
    </xf>
    <xf numFmtId="0" fontId="14" fillId="0" borderId="97" xfId="4" applyFont="1" applyBorder="1" applyAlignment="1">
      <alignment horizontal="center" vertical="top"/>
    </xf>
    <xf numFmtId="0" fontId="21" fillId="0" borderId="98" xfId="4" applyBorder="1" applyAlignment="1">
      <alignment horizontal="center" vertical="center" wrapText="1"/>
    </xf>
    <xf numFmtId="0" fontId="9" fillId="2" borderId="0" xfId="4" applyNumberFormat="1" applyFont="1" applyFill="1" applyBorder="1" applyAlignment="1">
      <alignment horizontal="center" vertical="center" wrapText="1"/>
    </xf>
    <xf numFmtId="0" fontId="9" fillId="2" borderId="29" xfId="4" applyNumberFormat="1" applyFont="1" applyFill="1" applyBorder="1" applyAlignment="1">
      <alignment horizontal="center" vertical="center" wrapText="1"/>
    </xf>
    <xf numFmtId="0" fontId="9" fillId="2" borderId="2" xfId="4" applyNumberFormat="1" applyFont="1" applyFill="1" applyBorder="1" applyAlignment="1">
      <alignment horizontal="center" vertical="center" wrapText="1"/>
    </xf>
    <xf numFmtId="0" fontId="14" fillId="0" borderId="67" xfId="4" applyFont="1" applyBorder="1" applyAlignment="1">
      <alignment horizontal="center" vertical="top"/>
    </xf>
    <xf numFmtId="0" fontId="21" fillId="0" borderId="67" xfId="4" applyBorder="1" applyAlignment="1">
      <alignment horizontal="left" vertical="top" wrapText="1"/>
    </xf>
    <xf numFmtId="0" fontId="21" fillId="0" borderId="3" xfId="4" applyBorder="1" applyAlignment="1">
      <alignment horizontal="left" vertical="top" wrapText="1"/>
    </xf>
    <xf numFmtId="0" fontId="21" fillId="0" borderId="5" xfId="4" applyBorder="1" applyAlignment="1">
      <alignment horizontal="left" vertical="top" wrapText="1"/>
    </xf>
    <xf numFmtId="0" fontId="14" fillId="0" borderId="107" xfId="4" applyFont="1" applyBorder="1" applyAlignment="1">
      <alignment horizontal="center" vertical="top"/>
    </xf>
    <xf numFmtId="0" fontId="21" fillId="0" borderId="107" xfId="4" applyBorder="1" applyAlignment="1">
      <alignment horizontal="left" vertical="top" wrapText="1"/>
    </xf>
    <xf numFmtId="0" fontId="9" fillId="2" borderId="57" xfId="0" applyNumberFormat="1" applyFont="1" applyFill="1" applyBorder="1" applyAlignment="1">
      <alignment horizontal="center" vertical="center" wrapText="1"/>
    </xf>
    <xf numFmtId="0" fontId="9" fillId="2" borderId="133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right" vertical="center" wrapText="1"/>
    </xf>
    <xf numFmtId="0" fontId="4" fillId="0" borderId="0" xfId="0" applyFont="1" applyBorder="1" applyAlignment="1">
      <alignment horizontal="right" vertical="center" wrapText="1"/>
    </xf>
    <xf numFmtId="0" fontId="14" fillId="0" borderId="98" xfId="0" applyFont="1" applyBorder="1" applyAlignment="1">
      <alignment horizontal="center" vertical="top"/>
    </xf>
    <xf numFmtId="0" fontId="14" fillId="0" borderId="3" xfId="0" applyFont="1" applyBorder="1" applyAlignment="1">
      <alignment horizontal="center" vertical="top"/>
    </xf>
    <xf numFmtId="0" fontId="14" fillId="0" borderId="5" xfId="0" applyFont="1" applyBorder="1" applyAlignment="1">
      <alignment horizontal="center" vertical="top"/>
    </xf>
    <xf numFmtId="0" fontId="0" fillId="0" borderId="110" xfId="0" applyBorder="1" applyAlignment="1">
      <alignment horizontal="center" vertical="center" textRotation="90"/>
    </xf>
    <xf numFmtId="0" fontId="0" fillId="0" borderId="70" xfId="0" applyBorder="1" applyAlignment="1">
      <alignment horizontal="center" vertical="center" textRotation="90"/>
    </xf>
    <xf numFmtId="0" fontId="21" fillId="0" borderId="133" xfId="4" applyBorder="1" applyAlignment="1">
      <alignment horizontal="left" vertical="top" wrapText="1"/>
    </xf>
    <xf numFmtId="0" fontId="21" fillId="0" borderId="118" xfId="4" applyBorder="1" applyAlignment="1">
      <alignment horizontal="left" vertical="top" wrapText="1"/>
    </xf>
    <xf numFmtId="0" fontId="21" fillId="0" borderId="55" xfId="4" applyBorder="1" applyAlignment="1">
      <alignment horizontal="left" vertical="top" wrapText="1"/>
    </xf>
    <xf numFmtId="0" fontId="0" fillId="0" borderId="36" xfId="0" applyBorder="1" applyAlignment="1">
      <alignment horizontal="center" vertical="center" textRotation="90"/>
    </xf>
    <xf numFmtId="0" fontId="21" fillId="0" borderId="138" xfId="4" applyBorder="1" applyAlignment="1">
      <alignment horizontal="left" vertical="top" wrapText="1"/>
    </xf>
    <xf numFmtId="0" fontId="0" fillId="0" borderId="135" xfId="0" applyBorder="1" applyAlignment="1">
      <alignment horizontal="left" vertical="top" wrapText="1"/>
    </xf>
    <xf numFmtId="0" fontId="0" fillId="0" borderId="28" xfId="0" applyBorder="1" applyAlignment="1">
      <alignment horizontal="left" vertical="top" wrapText="1"/>
    </xf>
    <xf numFmtId="0" fontId="0" fillId="0" borderId="46" xfId="0" applyBorder="1" applyAlignment="1">
      <alignment horizontal="left" vertical="top" wrapText="1"/>
    </xf>
    <xf numFmtId="0" fontId="88" fillId="0" borderId="143" xfId="0" applyFont="1" applyBorder="1" applyAlignment="1">
      <alignment horizontal="center" wrapText="1"/>
    </xf>
    <xf numFmtId="0" fontId="88" fillId="0" borderId="40" xfId="0" applyFont="1" applyBorder="1" applyAlignment="1">
      <alignment horizontal="center" wrapText="1"/>
    </xf>
    <xf numFmtId="0" fontId="88" fillId="0" borderId="37" xfId="0" applyFont="1" applyBorder="1" applyAlignment="1">
      <alignment horizontal="center" wrapText="1"/>
    </xf>
    <xf numFmtId="0" fontId="14" fillId="0" borderId="117" xfId="0" applyFont="1" applyBorder="1" applyAlignment="1">
      <alignment horizontal="center" vertical="center" wrapText="1"/>
    </xf>
    <xf numFmtId="0" fontId="14" fillId="0" borderId="145" xfId="0" applyFont="1" applyBorder="1" applyAlignment="1">
      <alignment horizontal="center" vertical="center" wrapText="1"/>
    </xf>
    <xf numFmtId="0" fontId="14" fillId="0" borderId="55" xfId="0" applyFont="1" applyBorder="1" applyAlignment="1">
      <alignment horizontal="center" vertical="center" wrapText="1"/>
    </xf>
    <xf numFmtId="0" fontId="14" fillId="0" borderId="117" xfId="0" applyFont="1" applyBorder="1" applyAlignment="1">
      <alignment horizontal="center" vertical="top" wrapText="1"/>
    </xf>
    <xf numFmtId="0" fontId="14" fillId="0" borderId="145" xfId="0" applyFont="1" applyBorder="1" applyAlignment="1">
      <alignment horizontal="center" vertical="top"/>
    </xf>
    <xf numFmtId="0" fontId="14" fillId="0" borderId="55" xfId="0" applyFont="1" applyBorder="1" applyAlignment="1">
      <alignment horizontal="center" vertical="top"/>
    </xf>
    <xf numFmtId="0" fontId="14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88" fillId="0" borderId="68" xfId="0" applyFont="1" applyBorder="1" applyAlignment="1">
      <alignment horizontal="center" wrapText="1"/>
    </xf>
    <xf numFmtId="0" fontId="88" fillId="0" borderId="3" xfId="0" applyFont="1" applyBorder="1" applyAlignment="1">
      <alignment horizontal="center" wrapText="1"/>
    </xf>
    <xf numFmtId="0" fontId="88" fillId="0" borderId="5" xfId="0" applyFont="1" applyBorder="1" applyAlignment="1">
      <alignment horizontal="center" wrapText="1"/>
    </xf>
    <xf numFmtId="0" fontId="14" fillId="0" borderId="144" xfId="0" applyFont="1" applyBorder="1" applyAlignment="1">
      <alignment horizontal="center" vertical="center"/>
    </xf>
    <xf numFmtId="0" fontId="9" fillId="2" borderId="135" xfId="4" applyNumberFormat="1" applyFont="1" applyFill="1" applyBorder="1" applyAlignment="1">
      <alignment horizontal="center" vertical="center" wrapText="1"/>
    </xf>
    <xf numFmtId="0" fontId="14" fillId="0" borderId="98" xfId="0" applyFont="1" applyBorder="1" applyAlignment="1">
      <alignment horizontal="center" vertical="center" wrapText="1"/>
    </xf>
    <xf numFmtId="0" fontId="88" fillId="0" borderId="98" xfId="0" applyFont="1" applyBorder="1" applyAlignment="1">
      <alignment horizont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7" xfId="0" applyFont="1" applyBorder="1" applyAlignment="1">
      <alignment horizontal="center" vertical="center" wrapText="1"/>
    </xf>
    <xf numFmtId="0" fontId="0" fillId="0" borderId="40" xfId="0" applyBorder="1" applyAlignment="1">
      <alignment horizontal="left" vertical="top" wrapText="1"/>
    </xf>
    <xf numFmtId="0" fontId="0" fillId="0" borderId="37" xfId="0" applyBorder="1" applyAlignment="1">
      <alignment horizontal="left" vertical="top" wrapText="1"/>
    </xf>
    <xf numFmtId="0" fontId="14" fillId="0" borderId="8" xfId="0" applyFont="1" applyBorder="1" applyAlignment="1">
      <alignment horizontal="center" vertical="center" wrapText="1"/>
    </xf>
    <xf numFmtId="0" fontId="0" fillId="0" borderId="8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14" fillId="0" borderId="3" xfId="4" applyFont="1" applyBorder="1" applyAlignment="1">
      <alignment horizontal="left" vertical="center" wrapText="1"/>
    </xf>
    <xf numFmtId="0" fontId="14" fillId="0" borderId="5" xfId="4" applyFont="1" applyBorder="1" applyAlignment="1">
      <alignment horizontal="left" vertical="center" wrapText="1"/>
    </xf>
    <xf numFmtId="0" fontId="14" fillId="0" borderId="31" xfId="4" applyFont="1" applyBorder="1" applyAlignment="1">
      <alignment horizontal="left" vertical="center" wrapText="1"/>
    </xf>
    <xf numFmtId="0" fontId="14" fillId="0" borderId="3" xfId="4" applyFont="1" applyBorder="1" applyAlignment="1">
      <alignment horizontal="left" vertical="center"/>
    </xf>
    <xf numFmtId="0" fontId="14" fillId="0" borderId="5" xfId="4" applyFont="1" applyBorder="1" applyAlignment="1">
      <alignment horizontal="left" vertical="center"/>
    </xf>
    <xf numFmtId="0" fontId="21" fillId="0" borderId="31" xfId="4" applyBorder="1" applyAlignment="1">
      <alignment horizontal="left" vertical="top" wrapText="1"/>
    </xf>
    <xf numFmtId="0" fontId="14" fillId="51" borderId="146" xfId="4" applyFont="1" applyFill="1" applyBorder="1" applyAlignment="1">
      <alignment horizontal="center" vertical="center" wrapText="1"/>
    </xf>
    <xf numFmtId="0" fontId="85" fillId="0" borderId="120" xfId="85" applyFont="1" applyFill="1" applyBorder="1" applyAlignment="1">
      <alignment horizontal="right" vertical="center" wrapText="1"/>
    </xf>
    <xf numFmtId="0" fontId="98" fillId="0" borderId="136" xfId="85" applyFont="1" applyFill="1" applyBorder="1" applyAlignment="1">
      <alignment horizontal="right" vertical="center" wrapText="1"/>
    </xf>
    <xf numFmtId="0" fontId="98" fillId="0" borderId="146" xfId="85" applyFont="1" applyFill="1" applyBorder="1" applyAlignment="1">
      <alignment horizontal="right" vertical="center" wrapText="1"/>
    </xf>
    <xf numFmtId="0" fontId="98" fillId="0" borderId="137" xfId="85" applyFont="1" applyFill="1" applyBorder="1" applyAlignment="1">
      <alignment horizontal="right" vertical="center" wrapText="1"/>
    </xf>
    <xf numFmtId="168" fontId="81" fillId="3" borderId="74" xfId="275" applyNumberFormat="1" applyFont="1" applyFill="1" applyBorder="1" applyAlignment="1">
      <alignment horizontal="center" vertical="center"/>
    </xf>
    <xf numFmtId="0" fontId="9" fillId="2" borderId="133" xfId="4" applyNumberFormat="1" applyFont="1" applyFill="1" applyBorder="1" applyAlignment="1">
      <alignment horizontal="center" vertical="center" wrapText="1"/>
    </xf>
    <xf numFmtId="0" fontId="21" fillId="0" borderId="120" xfId="4" applyBorder="1" applyAlignment="1">
      <alignment horizontal="center" vertical="top" wrapText="1"/>
    </xf>
    <xf numFmtId="0" fontId="21" fillId="0" borderId="133" xfId="4" applyBorder="1" applyAlignment="1">
      <alignment horizontal="center" vertical="top" wrapText="1"/>
    </xf>
    <xf numFmtId="0" fontId="21" fillId="0" borderId="133" xfId="4" applyBorder="1" applyAlignment="1">
      <alignment horizontal="left" vertical="center" textRotation="90" wrapText="1"/>
    </xf>
    <xf numFmtId="0" fontId="21" fillId="0" borderId="135" xfId="4" applyBorder="1" applyAlignment="1">
      <alignment horizontal="left" vertical="center" textRotation="90" wrapText="1"/>
    </xf>
    <xf numFmtId="0" fontId="14" fillId="0" borderId="120" xfId="4" applyFont="1" applyBorder="1" applyAlignment="1">
      <alignment horizontal="center" vertical="center" wrapText="1"/>
    </xf>
    <xf numFmtId="168" fontId="81" fillId="3" borderId="136" xfId="275" applyNumberFormat="1" applyFont="1" applyFill="1" applyBorder="1" applyAlignment="1">
      <alignment horizontal="center" vertical="center" wrapText="1"/>
    </xf>
    <xf numFmtId="0" fontId="108" fillId="54" borderId="133" xfId="4" applyFont="1" applyFill="1" applyBorder="1" applyAlignment="1">
      <alignment horizontal="center" vertical="center" wrapText="1"/>
    </xf>
    <xf numFmtId="0" fontId="108" fillId="54" borderId="135" xfId="4" applyFont="1" applyFill="1" applyBorder="1" applyAlignment="1">
      <alignment horizontal="center" vertical="center" wrapText="1"/>
    </xf>
    <xf numFmtId="0" fontId="108" fillId="54" borderId="136" xfId="4" applyFont="1" applyFill="1" applyBorder="1" applyAlignment="1">
      <alignment horizontal="left"/>
    </xf>
    <xf numFmtId="0" fontId="108" fillId="54" borderId="137" xfId="4" applyFont="1" applyFill="1" applyBorder="1" applyAlignment="1">
      <alignment horizontal="left"/>
    </xf>
    <xf numFmtId="0" fontId="14" fillId="0" borderId="120" xfId="4" applyFont="1" applyBorder="1" applyAlignment="1">
      <alignment horizontal="right" vertical="center" wrapText="1"/>
    </xf>
    <xf numFmtId="169" fontId="81" fillId="3" borderId="75" xfId="275" applyNumberFormat="1" applyFont="1" applyFill="1" applyBorder="1" applyAlignment="1">
      <alignment horizontal="center" vertical="center"/>
    </xf>
    <xf numFmtId="0" fontId="21" fillId="0" borderId="120" xfId="4" applyFont="1" applyBorder="1" applyAlignment="1">
      <alignment horizontal="center" vertical="center"/>
    </xf>
    <xf numFmtId="9" fontId="21" fillId="0" borderId="120" xfId="4" applyNumberFormat="1" applyBorder="1" applyAlignment="1">
      <alignment horizontal="center"/>
    </xf>
    <xf numFmtId="1" fontId="107" fillId="2" borderId="120" xfId="4" applyNumberFormat="1" applyFont="1" applyFill="1" applyBorder="1" applyAlignment="1">
      <alignment horizontal="center" vertical="center" wrapText="1"/>
    </xf>
    <xf numFmtId="0" fontId="90" fillId="0" borderId="120" xfId="4" applyFont="1" applyBorder="1" applyAlignment="1">
      <alignment horizontal="center" vertical="center"/>
    </xf>
    <xf numFmtId="0" fontId="93" fillId="0" borderId="120" xfId="4" applyFont="1" applyBorder="1" applyAlignment="1">
      <alignment horizontal="right" vertical="center"/>
    </xf>
    <xf numFmtId="9" fontId="21" fillId="0" borderId="120" xfId="4" applyNumberFormat="1" applyFont="1" applyBorder="1" applyAlignment="1">
      <alignment horizontal="center" vertical="center"/>
    </xf>
    <xf numFmtId="167" fontId="81" fillId="3" borderId="57" xfId="4" applyNumberFormat="1" applyFont="1" applyFill="1" applyBorder="1" applyAlignment="1">
      <alignment horizontal="center" vertical="center"/>
    </xf>
    <xf numFmtId="1" fontId="107" fillId="2" borderId="57" xfId="4" applyNumberFormat="1" applyFont="1" applyFill="1" applyBorder="1" applyAlignment="1">
      <alignment horizontal="center" vertical="center" wrapText="1"/>
    </xf>
    <xf numFmtId="1" fontId="107" fillId="2" borderId="121" xfId="4" applyNumberFormat="1" applyFont="1" applyFill="1" applyBorder="1" applyAlignment="1">
      <alignment horizontal="center" vertical="center" wrapText="1"/>
    </xf>
    <xf numFmtId="0" fontId="26" fillId="0" borderId="71" xfId="4" applyFont="1" applyBorder="1" applyAlignment="1">
      <alignment horizontal="center" vertical="center" textRotation="90"/>
    </xf>
    <xf numFmtId="0" fontId="26" fillId="0" borderId="76" xfId="4" applyFont="1" applyBorder="1" applyAlignment="1">
      <alignment horizontal="center" vertical="center" textRotation="90"/>
    </xf>
    <xf numFmtId="0" fontId="26" fillId="0" borderId="73" xfId="4" applyFont="1" applyBorder="1" applyAlignment="1">
      <alignment horizontal="center" vertical="center" textRotation="90"/>
    </xf>
    <xf numFmtId="0" fontId="9" fillId="2" borderId="71" xfId="4" applyNumberFormat="1" applyFont="1" applyFill="1" applyBorder="1" applyAlignment="1">
      <alignment horizontal="center" vertical="center" wrapText="1"/>
    </xf>
    <xf numFmtId="0" fontId="86" fillId="0" borderId="68" xfId="4" applyFont="1" applyBorder="1" applyAlignment="1">
      <alignment horizontal="center" vertical="center" wrapText="1"/>
    </xf>
    <xf numFmtId="0" fontId="86" fillId="0" borderId="84" xfId="4" applyFont="1" applyBorder="1" applyAlignment="1">
      <alignment horizontal="center" vertical="center" wrapText="1"/>
    </xf>
    <xf numFmtId="0" fontId="85" fillId="0" borderId="2" xfId="85" applyFont="1" applyFill="1" applyBorder="1" applyAlignment="1">
      <alignment horizontal="center" vertical="center" wrapText="1"/>
    </xf>
    <xf numFmtId="0" fontId="21" fillId="0" borderId="78" xfId="4" applyBorder="1" applyAlignment="1">
      <alignment horizontal="center" vertical="top" wrapText="1"/>
    </xf>
    <xf numFmtId="0" fontId="21" fillId="0" borderId="7" xfId="4" applyBorder="1" applyAlignment="1">
      <alignment horizontal="center" vertical="top" wrapText="1"/>
    </xf>
    <xf numFmtId="0" fontId="14" fillId="0" borderId="59" xfId="4" applyFont="1" applyBorder="1" applyAlignment="1">
      <alignment horizontal="left" vertical="center" wrapText="1"/>
    </xf>
    <xf numFmtId="0" fontId="14" fillId="0" borderId="83" xfId="4" applyFont="1" applyBorder="1" applyAlignment="1">
      <alignment horizontal="left" vertical="center" wrapText="1"/>
    </xf>
    <xf numFmtId="0" fontId="14" fillId="0" borderId="77" xfId="4" applyFont="1" applyBorder="1" applyAlignment="1">
      <alignment horizontal="left" vertical="center" wrapText="1"/>
    </xf>
    <xf numFmtId="0" fontId="14" fillId="0" borderId="13" xfId="4" applyFont="1" applyBorder="1" applyAlignment="1">
      <alignment horizontal="left" vertical="center" wrapText="1"/>
    </xf>
    <xf numFmtId="0" fontId="108" fillId="54" borderId="121" xfId="4" applyFont="1" applyFill="1" applyBorder="1" applyAlignment="1">
      <alignment horizontal="left"/>
    </xf>
    <xf numFmtId="0" fontId="108" fillId="54" borderId="122" xfId="4" applyFont="1" applyFill="1" applyBorder="1" applyAlignment="1">
      <alignment horizontal="left"/>
    </xf>
    <xf numFmtId="0" fontId="108" fillId="54" borderId="117" xfId="4" applyFont="1" applyFill="1" applyBorder="1" applyAlignment="1">
      <alignment horizontal="center" vertical="center" wrapText="1"/>
    </xf>
    <xf numFmtId="0" fontId="108" fillId="54" borderId="73" xfId="4" applyFont="1" applyFill="1" applyBorder="1" applyAlignment="1">
      <alignment horizontal="center" vertical="center" wrapText="1"/>
    </xf>
  </cellXfs>
  <cellStyles count="277">
    <cellStyle name="20% - Accent1" xfId="5"/>
    <cellStyle name="20% - Accent2" xfId="6"/>
    <cellStyle name="20% - Accent3" xfId="7"/>
    <cellStyle name="20% - Accent4" xfId="8"/>
    <cellStyle name="20% - Accent5" xfId="9"/>
    <cellStyle name="20% - Accent6" xfId="10"/>
    <cellStyle name="20% - 强调文字颜色 1" xfId="11"/>
    <cellStyle name="20% - 强调文字颜色 2" xfId="12"/>
    <cellStyle name="20% - 强调文字颜色 3" xfId="13"/>
    <cellStyle name="20% - 强调文字颜色 4" xfId="14"/>
    <cellStyle name="20% - 强调文字颜色 5" xfId="15"/>
    <cellStyle name="20% - 强调文字颜色 6" xfId="16"/>
    <cellStyle name="40% - Accent1" xfId="17"/>
    <cellStyle name="40% - Accent2" xfId="18"/>
    <cellStyle name="40% - Accent3" xfId="19"/>
    <cellStyle name="40% - Accent4" xfId="20"/>
    <cellStyle name="40% - Accent5" xfId="21"/>
    <cellStyle name="40% - Accent6" xfId="22"/>
    <cellStyle name="40% - 强调文字颜色 1" xfId="23"/>
    <cellStyle name="40% - 强调文字颜色 2" xfId="24"/>
    <cellStyle name="40% - 强调文字颜色 3" xfId="25"/>
    <cellStyle name="40% - 强调文字颜色 4" xfId="26"/>
    <cellStyle name="40% - 强调文字颜色 5" xfId="27"/>
    <cellStyle name="40% - 强调文字颜色 6" xfId="28"/>
    <cellStyle name="60% - Accent1" xfId="29"/>
    <cellStyle name="60% - Accent2" xfId="30"/>
    <cellStyle name="60% - Accent3" xfId="31"/>
    <cellStyle name="60% - Accent4" xfId="32"/>
    <cellStyle name="60% - Accent5" xfId="33"/>
    <cellStyle name="60% - Accent6" xfId="34"/>
    <cellStyle name="60% - 强调文字颜色 1" xfId="35"/>
    <cellStyle name="60% - 强调文字颜色 2" xfId="36"/>
    <cellStyle name="60% - 强调文字颜色 3" xfId="37"/>
    <cellStyle name="60% - 强调文字颜色 4" xfId="38"/>
    <cellStyle name="60% - 强调文字颜色 5" xfId="39"/>
    <cellStyle name="60% - 强调文字颜色 6" xfId="40"/>
    <cellStyle name="Accent1" xfId="41"/>
    <cellStyle name="Accent2" xfId="42"/>
    <cellStyle name="Accent3" xfId="43"/>
    <cellStyle name="Accent4" xfId="44"/>
    <cellStyle name="Accent5" xfId="45"/>
    <cellStyle name="Accent6" xfId="46"/>
    <cellStyle name="Bad" xfId="47"/>
    <cellStyle name="Calculation" xfId="48"/>
    <cellStyle name="Check Cell" xfId="49"/>
    <cellStyle name="Explanatory Text" xfId="50"/>
    <cellStyle name="Good" xfId="51"/>
    <cellStyle name="Heading 1" xfId="52"/>
    <cellStyle name="Heading 2" xfId="53"/>
    <cellStyle name="Heading 3" xfId="54"/>
    <cellStyle name="Heading 4" xfId="55"/>
    <cellStyle name="Input" xfId="56"/>
    <cellStyle name="Linked Cell" xfId="57"/>
    <cellStyle name="Neutral" xfId="58"/>
    <cellStyle name="Note" xfId="59"/>
    <cellStyle name="Output" xfId="60"/>
    <cellStyle name="Title" xfId="61"/>
    <cellStyle name="Total" xfId="62"/>
    <cellStyle name="Warning Text" xfId="63"/>
    <cellStyle name="Гиперссылка 2" xfId="64"/>
    <cellStyle name="Гиперссылка 3" xfId="65"/>
    <cellStyle name="Гиперссылка 4" xfId="66"/>
    <cellStyle name="Гиперссылка 5" xfId="67"/>
    <cellStyle name="Гиперссылка 6" xfId="3"/>
    <cellStyle name="Денежный" xfId="276" builtinId="4"/>
    <cellStyle name="Денежный 2" xfId="68"/>
    <cellStyle name="Денежный 2 2" xfId="69"/>
    <cellStyle name="Денежный 2 3" xfId="70"/>
    <cellStyle name="Денежный 3" xfId="71"/>
    <cellStyle name="Денежный 4" xfId="72"/>
    <cellStyle name="Денежный 5" xfId="73"/>
    <cellStyle name="Денежный 6" xfId="274"/>
    <cellStyle name="Обычный" xfId="0" builtinId="0"/>
    <cellStyle name="Обычный 10" xfId="74"/>
    <cellStyle name="Обычный 11" xfId="75"/>
    <cellStyle name="Обычный 11 2" xfId="76"/>
    <cellStyle name="Обычный 11 3" xfId="77"/>
    <cellStyle name="Обычный 11 4" xfId="78"/>
    <cellStyle name="Обычный 12" xfId="79"/>
    <cellStyle name="Обычный 12 2" xfId="80"/>
    <cellStyle name="Обычный 12 3" xfId="81"/>
    <cellStyle name="Обычный 13" xfId="82"/>
    <cellStyle name="Обычный 14" xfId="83"/>
    <cellStyle name="Обычный 2" xfId="4"/>
    <cellStyle name="Обычный 2 2" xfId="84"/>
    <cellStyle name="Обычный 2 3" xfId="85"/>
    <cellStyle name="Обычный 2 4" xfId="86"/>
    <cellStyle name="Обычный 3" xfId="87"/>
    <cellStyle name="Обычный 3 2" xfId="88"/>
    <cellStyle name="Обычный 3 3" xfId="89"/>
    <cellStyle name="Обычный 3 3 2" xfId="90"/>
    <cellStyle name="Обычный 3 3 2 2" xfId="91"/>
    <cellStyle name="Обычный 3 3 2 3" xfId="92"/>
    <cellStyle name="Обычный 3 3 2 4" xfId="93"/>
    <cellStyle name="Обычный 3 3 3" xfId="94"/>
    <cellStyle name="Обычный 3 3 3 2" xfId="95"/>
    <cellStyle name="Обычный 3 3 3 3" xfId="96"/>
    <cellStyle name="Обычный 3 3 4" xfId="97"/>
    <cellStyle name="Обычный 3 3 5" xfId="98"/>
    <cellStyle name="Обычный 3 3 6" xfId="99"/>
    <cellStyle name="Обычный 3 4" xfId="100"/>
    <cellStyle name="Обычный 3 5" xfId="101"/>
    <cellStyle name="Обычный 4" xfId="102"/>
    <cellStyle name="Обычный 4 2" xfId="103"/>
    <cellStyle name="Обычный 4 3" xfId="104"/>
    <cellStyle name="Обычный 4 3 2" xfId="105"/>
    <cellStyle name="Обычный 4 3 2 2" xfId="106"/>
    <cellStyle name="Обычный 4 3 2 3" xfId="107"/>
    <cellStyle name="Обычный 4 3 3" xfId="108"/>
    <cellStyle name="Обычный 4 3 3 2" xfId="109"/>
    <cellStyle name="Обычный 4 3 3 2 2" xfId="110"/>
    <cellStyle name="Обычный 4 3 3 2 3" xfId="111"/>
    <cellStyle name="Обычный 4 3 3 3" xfId="112"/>
    <cellStyle name="Обычный 4 3 3 4" xfId="113"/>
    <cellStyle name="Обычный 4 3 3 5" xfId="114"/>
    <cellStyle name="Обычный 4 3 4" xfId="115"/>
    <cellStyle name="Обычный 4 3 4 2" xfId="116"/>
    <cellStyle name="Обычный 4 3 4 3" xfId="117"/>
    <cellStyle name="Обычный 4 3 4 4" xfId="118"/>
    <cellStyle name="Обычный 4 3 5" xfId="119"/>
    <cellStyle name="Обычный 4 3 6" xfId="120"/>
    <cellStyle name="Обычный 4 3 7" xfId="121"/>
    <cellStyle name="Обычный 4 4" xfId="122"/>
    <cellStyle name="Обычный 4 4 2" xfId="123"/>
    <cellStyle name="Обычный 4 4 2 2" xfId="124"/>
    <cellStyle name="Обычный 4 4 2 2 2" xfId="125"/>
    <cellStyle name="Обычный 4 4 2 2 3" xfId="126"/>
    <cellStyle name="Обычный 4 4 2 3" xfId="127"/>
    <cellStyle name="Обычный 4 4 2 3 2" xfId="128"/>
    <cellStyle name="Обычный 4 4 2 3 3" xfId="129"/>
    <cellStyle name="Обычный 4 4 2 3 4" xfId="130"/>
    <cellStyle name="Обычный 4 4 2 4" xfId="131"/>
    <cellStyle name="Обычный 4 4 2 5" xfId="132"/>
    <cellStyle name="Обычный 4 4 3" xfId="133"/>
    <cellStyle name="Обычный 4 4 4" xfId="134"/>
    <cellStyle name="Обычный 4 5" xfId="135"/>
    <cellStyle name="Обычный 4 6" xfId="136"/>
    <cellStyle name="Обычный 4 7" xfId="137"/>
    <cellStyle name="Обычный 45" xfId="138"/>
    <cellStyle name="Обычный 5" xfId="139"/>
    <cellStyle name="Обычный 5 2" xfId="140"/>
    <cellStyle name="Обычный 5 2 2" xfId="141"/>
    <cellStyle name="Обычный 5 2 2 2" xfId="142"/>
    <cellStyle name="Обычный 5 2 2 2 2" xfId="143"/>
    <cellStyle name="Обычный 5 2 2 2 3" xfId="144"/>
    <cellStyle name="Обычный 5 2 2 3" xfId="145"/>
    <cellStyle name="Обычный 5 2 2 4" xfId="146"/>
    <cellStyle name="Обычный 5 2 2 5" xfId="147"/>
    <cellStyle name="Обычный 5 2 3" xfId="148"/>
    <cellStyle name="Обычный 5 2 4" xfId="149"/>
    <cellStyle name="Обычный 5 3" xfId="150"/>
    <cellStyle name="Обычный 5 3 2" xfId="151"/>
    <cellStyle name="Обычный 5 3 3" xfId="152"/>
    <cellStyle name="Обычный 5 4" xfId="153"/>
    <cellStyle name="Обычный 5 5" xfId="154"/>
    <cellStyle name="Обычный 6" xfId="155"/>
    <cellStyle name="Обычный 6 2" xfId="156"/>
    <cellStyle name="Обычный 6 3" xfId="157"/>
    <cellStyle name="Обычный 6 4" xfId="158"/>
    <cellStyle name="Обычный 7" xfId="159"/>
    <cellStyle name="Обычный 7 2" xfId="160"/>
    <cellStyle name="Обычный 7 2 2" xfId="161"/>
    <cellStyle name="Обычный 7 2 2 2" xfId="162"/>
    <cellStyle name="Обычный 7 2 2 3" xfId="163"/>
    <cellStyle name="Обычный 7 2 3" xfId="164"/>
    <cellStyle name="Обычный 7 2 4" xfId="165"/>
    <cellStyle name="Обычный 7 2 5" xfId="166"/>
    <cellStyle name="Обычный 7 3" xfId="167"/>
    <cellStyle name="Обычный 7 4" xfId="168"/>
    <cellStyle name="Обычный 8" xfId="169"/>
    <cellStyle name="Обычный 8 2" xfId="170"/>
    <cellStyle name="Обычный 8 3" xfId="171"/>
    <cellStyle name="Обычный 9" xfId="172"/>
    <cellStyle name="Обычный 9 2" xfId="173"/>
    <cellStyle name="Обычный 9 3" xfId="174"/>
    <cellStyle name="Процентный" xfId="1" builtinId="5"/>
    <cellStyle name="Процентный 2" xfId="175"/>
    <cellStyle name="Процентный 2 2" xfId="2"/>
    <cellStyle name="Процентный 2 2 2" xfId="176"/>
    <cellStyle name="Процентный 2 2 2 2" xfId="177"/>
    <cellStyle name="Процентный 2 2 3" xfId="178"/>
    <cellStyle name="Процентный 2 3" xfId="179"/>
    <cellStyle name="Процентный 2 3 2" xfId="180"/>
    <cellStyle name="Процентный 2 3 3" xfId="181"/>
    <cellStyle name="Процентный 3" xfId="182"/>
    <cellStyle name="Процентный 3 2" xfId="183"/>
    <cellStyle name="Процентный 3 2 2" xfId="184"/>
    <cellStyle name="Процентный 3 2 2 2" xfId="185"/>
    <cellStyle name="Процентный 3 2 2 3" xfId="186"/>
    <cellStyle name="Процентный 3 2 3" xfId="187"/>
    <cellStyle name="Процентный 3 2 4" xfId="188"/>
    <cellStyle name="Процентный 3 3" xfId="189"/>
    <cellStyle name="Процентный 3 3 2" xfId="190"/>
    <cellStyle name="Процентный 3 3 3" xfId="191"/>
    <cellStyle name="Процентный 3 4" xfId="192"/>
    <cellStyle name="Процентный 3 5" xfId="193"/>
    <cellStyle name="Процентный 3 6" xfId="194"/>
    <cellStyle name="Процентный 4" xfId="195"/>
    <cellStyle name="Процентный 4 2" xfId="196"/>
    <cellStyle name="Процентный 4 3" xfId="197"/>
    <cellStyle name="Процентный 5" xfId="198"/>
    <cellStyle name="Процентный 6" xfId="199"/>
    <cellStyle name="Стиль 1" xfId="200"/>
    <cellStyle name="Финансовый" xfId="275" builtinId="3"/>
    <cellStyle name="Финансовый 2" xfId="201"/>
    <cellStyle name="Финансовый 2 2" xfId="202"/>
    <cellStyle name="Финансовый 2 2 2" xfId="203"/>
    <cellStyle name="Финансовый 2 2 3" xfId="204"/>
    <cellStyle name="Финансовый 2 3" xfId="205"/>
    <cellStyle name="Финансовый 2 3 2" xfId="206"/>
    <cellStyle name="Финансовый 2 3 3" xfId="207"/>
    <cellStyle name="Финансовый 2 4" xfId="208"/>
    <cellStyle name="Финансовый 2 5" xfId="209"/>
    <cellStyle name="Финансовый 2 6" xfId="210"/>
    <cellStyle name="Финансовый 3" xfId="211"/>
    <cellStyle name="Финансовый 3 2" xfId="212"/>
    <cellStyle name="Финансовый 3 2 2" xfId="213"/>
    <cellStyle name="Финансовый 3 2 2 2" xfId="214"/>
    <cellStyle name="Финансовый 3 2 2 2 2" xfId="215"/>
    <cellStyle name="Финансовый 3 2 2 2 3" xfId="216"/>
    <cellStyle name="Финансовый 3 2 2 2 4" xfId="217"/>
    <cellStyle name="Финансовый 3 2 2 3" xfId="218"/>
    <cellStyle name="Финансовый 3 2 2 4" xfId="219"/>
    <cellStyle name="Финансовый 3 2 3" xfId="220"/>
    <cellStyle name="Финансовый 3 2 4" xfId="221"/>
    <cellStyle name="Финансовый 4" xfId="222"/>
    <cellStyle name="Финансовый 4 2" xfId="223"/>
    <cellStyle name="Финансовый 4 2 2" xfId="224"/>
    <cellStyle name="Финансовый 4 2 2 2" xfId="225"/>
    <cellStyle name="Финансовый 4 2 2 3" xfId="226"/>
    <cellStyle name="Финансовый 4 2 2 4" xfId="227"/>
    <cellStyle name="Финансовый 4 2 3" xfId="228"/>
    <cellStyle name="Финансовый 4 2 4" xfId="229"/>
    <cellStyle name="Финансовый 4 3" xfId="230"/>
    <cellStyle name="Финансовый 4 3 2" xfId="231"/>
    <cellStyle name="Финансовый 4 3 3" xfId="232"/>
    <cellStyle name="Финансовый 4 4" xfId="233"/>
    <cellStyle name="Финансовый 4 5" xfId="234"/>
    <cellStyle name="Финансовый 5" xfId="235"/>
    <cellStyle name="Финансовый 5 2" xfId="236"/>
    <cellStyle name="Финансовый 5 3" xfId="237"/>
    <cellStyle name="Финансовый 6" xfId="238"/>
    <cellStyle name="Финансовый 6 2" xfId="239"/>
    <cellStyle name="Финансовый 6 3" xfId="240"/>
    <cellStyle name="Финансовый 7" xfId="241"/>
    <cellStyle name="Финансовый 7 2" xfId="242"/>
    <cellStyle name="Финансовый 7 3" xfId="243"/>
    <cellStyle name="Финансовый 8" xfId="244"/>
    <cellStyle name="Финансовый 9" xfId="245"/>
    <cellStyle name="好" xfId="246"/>
    <cellStyle name="好_Хуадонг 19.02." xfId="247"/>
    <cellStyle name="好_Хуадонг 21.10." xfId="248"/>
    <cellStyle name="差" xfId="249"/>
    <cellStyle name="差_Хуадонг 19.02." xfId="250"/>
    <cellStyle name="差_Хуадонг 21.10." xfId="251"/>
    <cellStyle name="常规_invoice_6" xfId="252"/>
    <cellStyle name="强调文字颜色 1" xfId="253"/>
    <cellStyle name="强调文字颜色 2" xfId="254"/>
    <cellStyle name="强调文字颜色 3" xfId="255"/>
    <cellStyle name="强调文字颜色 4" xfId="256"/>
    <cellStyle name="强调文字颜色 5" xfId="257"/>
    <cellStyle name="强调文字颜色 6" xfId="258"/>
    <cellStyle name="标题" xfId="259"/>
    <cellStyle name="标题 1" xfId="260"/>
    <cellStyle name="标题 2" xfId="261"/>
    <cellStyle name="标题 3" xfId="262"/>
    <cellStyle name="标题 4" xfId="263"/>
    <cellStyle name="检查单元格" xfId="264"/>
    <cellStyle name="汇总" xfId="265"/>
    <cellStyle name="注释" xfId="266"/>
    <cellStyle name="解释性文本" xfId="267"/>
    <cellStyle name="警告文本" xfId="268"/>
    <cellStyle name="计算" xfId="269"/>
    <cellStyle name="输入" xfId="270"/>
    <cellStyle name="输出" xfId="271"/>
    <cellStyle name="适中" xfId="272"/>
    <cellStyle name="链接单元格" xfId="27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jpe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8.jpeg"/><Relationship Id="rId1" Type="http://schemas.openxmlformats.org/officeDocument/2006/relationships/image" Target="../media/image67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70.png"/><Relationship Id="rId1" Type="http://schemas.openxmlformats.org/officeDocument/2006/relationships/image" Target="../media/image6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2.png"/><Relationship Id="rId1" Type="http://schemas.openxmlformats.org/officeDocument/2006/relationships/image" Target="../media/image2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14.jpeg"/><Relationship Id="rId4" Type="http://schemas.openxmlformats.org/officeDocument/2006/relationships/image" Target="../media/image7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5" Type="http://schemas.openxmlformats.org/officeDocument/2006/relationships/image" Target="../media/image16.jpeg"/><Relationship Id="rId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4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5" Type="http://schemas.openxmlformats.org/officeDocument/2006/relationships/image" Target="../media/image25.jpeg"/><Relationship Id="rId4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4" Type="http://schemas.openxmlformats.org/officeDocument/2006/relationships/image" Target="../media/image2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31.jpeg"/><Relationship Id="rId7" Type="http://schemas.openxmlformats.org/officeDocument/2006/relationships/image" Target="../media/image35.png"/><Relationship Id="rId12" Type="http://schemas.openxmlformats.org/officeDocument/2006/relationships/image" Target="../media/image40.png"/><Relationship Id="rId2" Type="http://schemas.openxmlformats.org/officeDocument/2006/relationships/image" Target="../media/image30.jpeg"/><Relationship Id="rId1" Type="http://schemas.openxmlformats.org/officeDocument/2006/relationships/image" Target="../media/image29.jpeg"/><Relationship Id="rId6" Type="http://schemas.openxmlformats.org/officeDocument/2006/relationships/image" Target="../media/image34.png"/><Relationship Id="rId11" Type="http://schemas.openxmlformats.org/officeDocument/2006/relationships/image" Target="../media/image39.png"/><Relationship Id="rId5" Type="http://schemas.openxmlformats.org/officeDocument/2006/relationships/image" Target="../media/image33.png"/><Relationship Id="rId10" Type="http://schemas.openxmlformats.org/officeDocument/2006/relationships/image" Target="../media/image38.png"/><Relationship Id="rId4" Type="http://schemas.openxmlformats.org/officeDocument/2006/relationships/image" Target="../media/image32.jpeg"/><Relationship Id="rId9" Type="http://schemas.openxmlformats.org/officeDocument/2006/relationships/image" Target="../media/image3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3" Type="http://schemas.openxmlformats.org/officeDocument/2006/relationships/image" Target="../media/image43.jpeg"/><Relationship Id="rId7" Type="http://schemas.openxmlformats.org/officeDocument/2006/relationships/image" Target="../media/image47.png"/><Relationship Id="rId2" Type="http://schemas.openxmlformats.org/officeDocument/2006/relationships/image" Target="../media/image42.jpeg"/><Relationship Id="rId1" Type="http://schemas.openxmlformats.org/officeDocument/2006/relationships/image" Target="../media/image41.jpeg"/><Relationship Id="rId6" Type="http://schemas.openxmlformats.org/officeDocument/2006/relationships/image" Target="../media/image46.png"/><Relationship Id="rId5" Type="http://schemas.openxmlformats.org/officeDocument/2006/relationships/image" Target="../media/image45.jpeg"/><Relationship Id="rId4" Type="http://schemas.openxmlformats.org/officeDocument/2006/relationships/image" Target="../media/image4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eg"/><Relationship Id="rId2" Type="http://schemas.openxmlformats.org/officeDocument/2006/relationships/image" Target="../media/image50.jpeg"/><Relationship Id="rId1" Type="http://schemas.openxmlformats.org/officeDocument/2006/relationships/image" Target="../media/image49.jpeg"/><Relationship Id="rId5" Type="http://schemas.openxmlformats.org/officeDocument/2006/relationships/image" Target="../media/image53.png"/><Relationship Id="rId4" Type="http://schemas.openxmlformats.org/officeDocument/2006/relationships/image" Target="../media/image5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jpeg"/><Relationship Id="rId2" Type="http://schemas.openxmlformats.org/officeDocument/2006/relationships/image" Target="../media/image55.png"/><Relationship Id="rId1" Type="http://schemas.openxmlformats.org/officeDocument/2006/relationships/image" Target="../media/image54.png"/><Relationship Id="rId4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307088</xdr:colOff>
      <xdr:row>11</xdr:row>
      <xdr:rowOff>254000</xdr:rowOff>
    </xdr:from>
    <xdr:to>
      <xdr:col>2</xdr:col>
      <xdr:colOff>836256</xdr:colOff>
      <xdr:row>11</xdr:row>
      <xdr:rowOff>1576916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588" y="8900583"/>
          <a:ext cx="529168" cy="1322916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211666</xdr:colOff>
      <xdr:row>8</xdr:row>
      <xdr:rowOff>265010</xdr:rowOff>
    </xdr:from>
    <xdr:to>
      <xdr:col>2</xdr:col>
      <xdr:colOff>740833</xdr:colOff>
      <xdr:row>8</xdr:row>
      <xdr:rowOff>1587925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66" y="2127677"/>
          <a:ext cx="529167" cy="1322915"/>
        </a:xfrm>
        <a:prstGeom prst="rect">
          <a:avLst/>
        </a:prstGeom>
      </xdr:spPr>
    </xdr:pic>
    <xdr:clientData/>
  </xdr:twoCellAnchor>
  <xdr:twoCellAnchor editAs="oneCell">
    <xdr:from>
      <xdr:col>2</xdr:col>
      <xdr:colOff>264582</xdr:colOff>
      <xdr:row>9</xdr:row>
      <xdr:rowOff>275166</xdr:rowOff>
    </xdr:from>
    <xdr:to>
      <xdr:col>2</xdr:col>
      <xdr:colOff>772754</xdr:colOff>
      <xdr:row>9</xdr:row>
      <xdr:rowOff>1545592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082" y="5577416"/>
          <a:ext cx="508172" cy="1270426"/>
        </a:xfrm>
        <a:prstGeom prst="rect">
          <a:avLst/>
        </a:prstGeom>
      </xdr:spPr>
    </xdr:pic>
    <xdr:clientData/>
  </xdr:twoCellAnchor>
  <xdr:twoCellAnchor editAs="oneCell">
    <xdr:from>
      <xdr:col>2</xdr:col>
      <xdr:colOff>232832</xdr:colOff>
      <xdr:row>10</xdr:row>
      <xdr:rowOff>275594</xdr:rowOff>
    </xdr:from>
    <xdr:to>
      <xdr:col>2</xdr:col>
      <xdr:colOff>740832</xdr:colOff>
      <xdr:row>10</xdr:row>
      <xdr:rowOff>1545591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332" y="7250011"/>
          <a:ext cx="508000" cy="1269997"/>
        </a:xfrm>
        <a:prstGeom prst="rect">
          <a:avLst/>
        </a:prstGeom>
      </xdr:spPr>
    </xdr:pic>
    <xdr:clientData/>
  </xdr:twoCellAnchor>
  <xdr:twoCellAnchor>
    <xdr:from>
      <xdr:col>2</xdr:col>
      <xdr:colOff>381000</xdr:colOff>
      <xdr:row>31</xdr:row>
      <xdr:rowOff>209173</xdr:rowOff>
    </xdr:from>
    <xdr:to>
      <xdr:col>2</xdr:col>
      <xdr:colOff>658883</xdr:colOff>
      <xdr:row>33</xdr:row>
      <xdr:rowOff>285750</xdr:rowOff>
    </xdr:to>
    <xdr:pic>
      <xdr:nvPicPr>
        <xdr:cNvPr id="8" name="Рисунок 7" descr="корсика.png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8500" y="13628840"/>
          <a:ext cx="277883" cy="711577"/>
        </a:xfrm>
        <a:prstGeom prst="rect">
          <a:avLst/>
        </a:prstGeom>
      </xdr:spPr>
    </xdr:pic>
    <xdr:clientData/>
  </xdr:twoCellAnchor>
  <xdr:twoCellAnchor>
    <xdr:from>
      <xdr:col>2</xdr:col>
      <xdr:colOff>42334</xdr:colOff>
      <xdr:row>34</xdr:row>
      <xdr:rowOff>84666</xdr:rowOff>
    </xdr:from>
    <xdr:to>
      <xdr:col>2</xdr:col>
      <xdr:colOff>335672</xdr:colOff>
      <xdr:row>36</xdr:row>
      <xdr:rowOff>200819</xdr:rowOff>
    </xdr:to>
    <xdr:pic>
      <xdr:nvPicPr>
        <xdr:cNvPr id="9" name="Рисунок 8" descr="корсика.png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9834" y="14456833"/>
          <a:ext cx="293338" cy="751153"/>
        </a:xfrm>
        <a:prstGeom prst="rect">
          <a:avLst/>
        </a:prstGeom>
      </xdr:spPr>
    </xdr:pic>
    <xdr:clientData/>
  </xdr:twoCellAnchor>
  <xdr:twoCellAnchor editAs="oneCell">
    <xdr:from>
      <xdr:col>2</xdr:col>
      <xdr:colOff>359833</xdr:colOff>
      <xdr:row>43</xdr:row>
      <xdr:rowOff>95250</xdr:rowOff>
    </xdr:from>
    <xdr:to>
      <xdr:col>2</xdr:col>
      <xdr:colOff>643466</xdr:colOff>
      <xdr:row>45</xdr:row>
      <xdr:rowOff>169331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17324917"/>
          <a:ext cx="283633" cy="709081"/>
        </a:xfrm>
        <a:prstGeom prst="rect">
          <a:avLst/>
        </a:prstGeom>
      </xdr:spPr>
    </xdr:pic>
    <xdr:clientData/>
  </xdr:twoCellAnchor>
  <xdr:twoCellAnchor>
    <xdr:from>
      <xdr:col>2</xdr:col>
      <xdr:colOff>359835</xdr:colOff>
      <xdr:row>34</xdr:row>
      <xdr:rowOff>84667</xdr:rowOff>
    </xdr:from>
    <xdr:to>
      <xdr:col>2</xdr:col>
      <xdr:colOff>652750</xdr:colOff>
      <xdr:row>36</xdr:row>
      <xdr:rowOff>199737</xdr:rowOff>
    </xdr:to>
    <xdr:pic>
      <xdr:nvPicPr>
        <xdr:cNvPr id="13" name="Рисунок 12" descr="корсика.png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77335" y="14456834"/>
          <a:ext cx="292915" cy="750070"/>
        </a:xfrm>
        <a:prstGeom prst="rect">
          <a:avLst/>
        </a:prstGeom>
      </xdr:spPr>
    </xdr:pic>
    <xdr:clientData/>
  </xdr:twoCellAnchor>
  <xdr:twoCellAnchor>
    <xdr:from>
      <xdr:col>2</xdr:col>
      <xdr:colOff>689630</xdr:colOff>
      <xdr:row>34</xdr:row>
      <xdr:rowOff>84668</xdr:rowOff>
    </xdr:from>
    <xdr:to>
      <xdr:col>2</xdr:col>
      <xdr:colOff>980836</xdr:colOff>
      <xdr:row>36</xdr:row>
      <xdr:rowOff>195362</xdr:rowOff>
    </xdr:to>
    <xdr:pic>
      <xdr:nvPicPr>
        <xdr:cNvPr id="14" name="Рисунок 13" descr="корсика.png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07130" y="14456835"/>
          <a:ext cx="291206" cy="745694"/>
        </a:xfrm>
        <a:prstGeom prst="rect">
          <a:avLst/>
        </a:prstGeom>
      </xdr:spPr>
    </xdr:pic>
    <xdr:clientData/>
  </xdr:twoCellAnchor>
  <xdr:twoCellAnchor editAs="oneCell">
    <xdr:from>
      <xdr:col>2</xdr:col>
      <xdr:colOff>84667</xdr:colOff>
      <xdr:row>40</xdr:row>
      <xdr:rowOff>95249</xdr:rowOff>
    </xdr:from>
    <xdr:to>
      <xdr:col>2</xdr:col>
      <xdr:colOff>387477</xdr:colOff>
      <xdr:row>42</xdr:row>
      <xdr:rowOff>211666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8148" r="45691" b="19197"/>
        <a:stretch/>
      </xdr:blipFill>
      <xdr:spPr>
        <a:xfrm>
          <a:off x="402167" y="16372416"/>
          <a:ext cx="302810" cy="751417"/>
        </a:xfrm>
        <a:prstGeom prst="rect">
          <a:avLst/>
        </a:prstGeom>
      </xdr:spPr>
    </xdr:pic>
    <xdr:clientData/>
  </xdr:twoCellAnchor>
  <xdr:twoCellAnchor editAs="oneCell">
    <xdr:from>
      <xdr:col>2</xdr:col>
      <xdr:colOff>74084</xdr:colOff>
      <xdr:row>37</xdr:row>
      <xdr:rowOff>95249</xdr:rowOff>
    </xdr:from>
    <xdr:to>
      <xdr:col>2</xdr:col>
      <xdr:colOff>412750</xdr:colOff>
      <xdr:row>39</xdr:row>
      <xdr:rowOff>217943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1074" r="52195" b="20402"/>
        <a:stretch/>
      </xdr:blipFill>
      <xdr:spPr>
        <a:xfrm>
          <a:off x="391584" y="15419916"/>
          <a:ext cx="338666" cy="757694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476251</xdr:colOff>
      <xdr:row>37</xdr:row>
      <xdr:rowOff>95250</xdr:rowOff>
    </xdr:from>
    <xdr:to>
      <xdr:col>2</xdr:col>
      <xdr:colOff>820885</xdr:colOff>
      <xdr:row>39</xdr:row>
      <xdr:rowOff>211666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71081" r="21959" b="19800"/>
        <a:stretch/>
      </xdr:blipFill>
      <xdr:spPr>
        <a:xfrm>
          <a:off x="793751" y="15419917"/>
          <a:ext cx="344634" cy="751416"/>
        </a:xfrm>
        <a:prstGeom prst="rect">
          <a:avLst/>
        </a:prstGeom>
      </xdr:spPr>
    </xdr:pic>
    <xdr:clientData/>
  </xdr:twoCellAnchor>
  <xdr:twoCellAnchor editAs="oneCell">
    <xdr:from>
      <xdr:col>2</xdr:col>
      <xdr:colOff>474067</xdr:colOff>
      <xdr:row>40</xdr:row>
      <xdr:rowOff>84666</xdr:rowOff>
    </xdr:from>
    <xdr:to>
      <xdr:col>2</xdr:col>
      <xdr:colOff>804332</xdr:colOff>
      <xdr:row>42</xdr:row>
      <xdr:rowOff>222249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77812" r="15798" b="21006"/>
        <a:stretch/>
      </xdr:blipFill>
      <xdr:spPr>
        <a:xfrm>
          <a:off x="791567" y="16361833"/>
          <a:ext cx="330265" cy="772583"/>
        </a:xfrm>
        <a:prstGeom prst="rect">
          <a:avLst/>
        </a:prstGeom>
      </xdr:spPr>
    </xdr:pic>
    <xdr:clientData/>
  </xdr:twoCellAnchor>
  <xdr:twoCellAnchor editAs="oneCell">
    <xdr:from>
      <xdr:col>2</xdr:col>
      <xdr:colOff>319074</xdr:colOff>
      <xdr:row>28</xdr:row>
      <xdr:rowOff>137584</xdr:rowOff>
    </xdr:from>
    <xdr:to>
      <xdr:col>2</xdr:col>
      <xdr:colOff>666749</xdr:colOff>
      <xdr:row>30</xdr:row>
      <xdr:rowOff>296333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5364" r="49596" b="60595"/>
        <a:stretch/>
      </xdr:blipFill>
      <xdr:spPr>
        <a:xfrm>
          <a:off x="700074" y="12604751"/>
          <a:ext cx="347675" cy="793749"/>
        </a:xfrm>
        <a:prstGeom prst="rect">
          <a:avLst/>
        </a:prstGeom>
      </xdr:spPr>
    </xdr:pic>
    <xdr:clientData/>
  </xdr:twoCellAnchor>
  <xdr:twoCellAnchor editAs="oneCell">
    <xdr:from>
      <xdr:col>2</xdr:col>
      <xdr:colOff>108720</xdr:colOff>
      <xdr:row>19</xdr:row>
      <xdr:rowOff>84666</xdr:rowOff>
    </xdr:from>
    <xdr:to>
      <xdr:col>2</xdr:col>
      <xdr:colOff>465667</xdr:colOff>
      <xdr:row>21</xdr:row>
      <xdr:rowOff>264582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5516" r="89444" b="60595"/>
        <a:stretch/>
      </xdr:blipFill>
      <xdr:spPr>
        <a:xfrm>
          <a:off x="426220" y="9694333"/>
          <a:ext cx="356947" cy="814916"/>
        </a:xfrm>
        <a:prstGeom prst="rect">
          <a:avLst/>
        </a:prstGeom>
      </xdr:spPr>
    </xdr:pic>
    <xdr:clientData/>
  </xdr:twoCellAnchor>
  <xdr:twoCellAnchor editAs="oneCell">
    <xdr:from>
      <xdr:col>1</xdr:col>
      <xdr:colOff>205321</xdr:colOff>
      <xdr:row>22</xdr:row>
      <xdr:rowOff>63500</xdr:rowOff>
    </xdr:from>
    <xdr:to>
      <xdr:col>2</xdr:col>
      <xdr:colOff>338671</xdr:colOff>
      <xdr:row>24</xdr:row>
      <xdr:rowOff>179915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7023" t="1" r="77651" b="62548"/>
        <a:stretch/>
      </xdr:blipFill>
      <xdr:spPr>
        <a:xfrm>
          <a:off x="364071" y="10625667"/>
          <a:ext cx="355600" cy="751415"/>
        </a:xfrm>
        <a:prstGeom prst="rect">
          <a:avLst/>
        </a:prstGeom>
      </xdr:spPr>
    </xdr:pic>
    <xdr:clientData/>
  </xdr:twoCellAnchor>
  <xdr:twoCellAnchor editAs="oneCell">
    <xdr:from>
      <xdr:col>2</xdr:col>
      <xdr:colOff>666838</xdr:colOff>
      <xdr:row>22</xdr:row>
      <xdr:rowOff>74083</xdr:rowOff>
    </xdr:from>
    <xdr:to>
      <xdr:col>2</xdr:col>
      <xdr:colOff>969119</xdr:colOff>
      <xdr:row>24</xdr:row>
      <xdr:rowOff>201084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50689" r="44746" b="60595"/>
        <a:stretch/>
      </xdr:blipFill>
      <xdr:spPr>
        <a:xfrm>
          <a:off x="1047838" y="10636250"/>
          <a:ext cx="302281" cy="762001"/>
        </a:xfrm>
        <a:prstGeom prst="rect">
          <a:avLst/>
        </a:prstGeom>
      </xdr:spPr>
    </xdr:pic>
    <xdr:clientData/>
  </xdr:twoCellAnchor>
  <xdr:twoCellAnchor editAs="oneCell">
    <xdr:from>
      <xdr:col>2</xdr:col>
      <xdr:colOff>523747</xdr:colOff>
      <xdr:row>19</xdr:row>
      <xdr:rowOff>74083</xdr:rowOff>
    </xdr:from>
    <xdr:to>
      <xdr:col>2</xdr:col>
      <xdr:colOff>889000</xdr:colOff>
      <xdr:row>21</xdr:row>
      <xdr:rowOff>288998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911" r="66144" b="60595"/>
        <a:stretch/>
      </xdr:blipFill>
      <xdr:spPr>
        <a:xfrm>
          <a:off x="904747" y="9683750"/>
          <a:ext cx="365253" cy="849915"/>
        </a:xfrm>
        <a:prstGeom prst="rect">
          <a:avLst/>
        </a:prstGeom>
      </xdr:spPr>
    </xdr:pic>
    <xdr:clientData/>
  </xdr:twoCellAnchor>
  <xdr:twoCellAnchor>
    <xdr:from>
      <xdr:col>2</xdr:col>
      <xdr:colOff>338668</xdr:colOff>
      <xdr:row>22</xdr:row>
      <xdr:rowOff>74083</xdr:rowOff>
    </xdr:from>
    <xdr:to>
      <xdr:col>2</xdr:col>
      <xdr:colOff>677334</xdr:colOff>
      <xdr:row>24</xdr:row>
      <xdr:rowOff>201083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pSpPr/>
      </xdr:nvGrpSpPr>
      <xdr:grpSpPr>
        <a:xfrm>
          <a:off x="719668" y="10626422"/>
          <a:ext cx="338666" cy="752929"/>
          <a:chOff x="1312333" y="13112750"/>
          <a:chExt cx="539750" cy="1280584"/>
        </a:xfrm>
      </xdr:grpSpPr>
      <xdr:pic>
        <xdr:nvPicPr>
          <xdr:cNvPr id="27" name="Рисунок 26">
            <a:extLst>
              <a:ext uri="{FF2B5EF4-FFF2-40B4-BE49-F238E27FC236}">
                <a16:creationId xmlns:a16="http://schemas.microsoft.com/office/drawing/2014/main" xmlns="" id="{00000000-0008-0000-0300-00001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29006" r="66144" b="60595"/>
          <a:stretch/>
        </xdr:blipFill>
        <xdr:spPr>
          <a:xfrm>
            <a:off x="1312333" y="13112750"/>
            <a:ext cx="539750" cy="1280584"/>
          </a:xfrm>
          <a:prstGeom prst="rect">
            <a:avLst/>
          </a:prstGeom>
        </xdr:spPr>
      </xdr:pic>
      <xdr:pic>
        <xdr:nvPicPr>
          <xdr:cNvPr id="26" name="Рисунок 25">
            <a:extLst>
              <a:ext uri="{FF2B5EF4-FFF2-40B4-BE49-F238E27FC236}">
                <a16:creationId xmlns:a16="http://schemas.microsoft.com/office/drawing/2014/main" xmlns="" id="{00000000-0008-0000-0300-00001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24441" t="24099" r="71851" b="66131"/>
          <a:stretch/>
        </xdr:blipFill>
        <xdr:spPr>
          <a:xfrm>
            <a:off x="1344082" y="13906501"/>
            <a:ext cx="412749" cy="317500"/>
          </a:xfrm>
          <a:prstGeom prst="rect">
            <a:avLst/>
          </a:prstGeom>
          <a:solidFill>
            <a:schemeClr val="bg1"/>
          </a:solidFill>
        </xdr:spPr>
      </xdr:pic>
    </xdr:grpSp>
    <xdr:clientData/>
  </xdr:twoCellAnchor>
  <xdr:twoCellAnchor editAs="oneCell">
    <xdr:from>
      <xdr:col>2</xdr:col>
      <xdr:colOff>493741</xdr:colOff>
      <xdr:row>25</xdr:row>
      <xdr:rowOff>66192</xdr:rowOff>
    </xdr:from>
    <xdr:to>
      <xdr:col>2</xdr:col>
      <xdr:colOff>836083</xdr:colOff>
      <xdr:row>27</xdr:row>
      <xdr:rowOff>243417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0704" r="54446" b="60595"/>
        <a:stretch/>
      </xdr:blipFill>
      <xdr:spPr>
        <a:xfrm>
          <a:off x="874741" y="11580859"/>
          <a:ext cx="342342" cy="812225"/>
        </a:xfrm>
        <a:prstGeom prst="rect">
          <a:avLst/>
        </a:prstGeom>
      </xdr:spPr>
    </xdr:pic>
    <xdr:clientData/>
  </xdr:twoCellAnchor>
  <xdr:twoCellAnchor>
    <xdr:from>
      <xdr:col>2</xdr:col>
      <xdr:colOff>95252</xdr:colOff>
      <xdr:row>25</xdr:row>
      <xdr:rowOff>52916</xdr:rowOff>
    </xdr:from>
    <xdr:to>
      <xdr:col>2</xdr:col>
      <xdr:colOff>455083</xdr:colOff>
      <xdr:row>27</xdr:row>
      <xdr:rowOff>253999</xdr:rowOff>
    </xdr:to>
    <xdr:grpSp>
      <xdr:nvGrpSpPr>
        <xdr:cNvPr id="33" name="Группа 32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GrpSpPr/>
      </xdr:nvGrpSpPr>
      <xdr:grpSpPr>
        <a:xfrm>
          <a:off x="476252" y="11544148"/>
          <a:ext cx="359831" cy="827012"/>
          <a:chOff x="10350500" y="9609667"/>
          <a:chExt cx="338666" cy="762000"/>
        </a:xfrm>
      </xdr:grpSpPr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xmlns="" id="{00000000-0008-0000-0300-00001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29006" r="66144" b="60595"/>
          <a:stretch/>
        </xdr:blipFill>
        <xdr:spPr>
          <a:xfrm>
            <a:off x="10350500" y="9609667"/>
            <a:ext cx="338666" cy="762000"/>
          </a:xfrm>
          <a:prstGeom prst="rect">
            <a:avLst/>
          </a:prstGeom>
        </xdr:spPr>
      </xdr:pic>
      <xdr:pic>
        <xdr:nvPicPr>
          <xdr:cNvPr id="31" name="Рисунок 30">
            <a:extLst>
              <a:ext uri="{FF2B5EF4-FFF2-40B4-BE49-F238E27FC236}">
                <a16:creationId xmlns:a16="http://schemas.microsoft.com/office/drawing/2014/main" xmlns="" id="{00000000-0008-0000-0300-00001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24441" t="24099" r="71851" b="66131"/>
          <a:stretch/>
        </xdr:blipFill>
        <xdr:spPr>
          <a:xfrm>
            <a:off x="10391587" y="10103149"/>
            <a:ext cx="258979" cy="188926"/>
          </a:xfrm>
          <a:prstGeom prst="rect">
            <a:avLst/>
          </a:prstGeom>
          <a:solidFill>
            <a:schemeClr val="bg1"/>
          </a:solidFill>
        </xdr:spPr>
      </xdr:pic>
      <xdr:pic>
        <xdr:nvPicPr>
          <xdr:cNvPr id="32" name="Рисунок 31">
            <a:extLst>
              <a:ext uri="{FF2B5EF4-FFF2-40B4-BE49-F238E27FC236}">
                <a16:creationId xmlns:a16="http://schemas.microsoft.com/office/drawing/2014/main" xmlns="" id="{00000000-0008-0000-0300-00002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24441" t="24099" r="71851" b="66131"/>
          <a:stretch/>
        </xdr:blipFill>
        <xdr:spPr>
          <a:xfrm>
            <a:off x="10382250" y="9863667"/>
            <a:ext cx="258979" cy="188926"/>
          </a:xfrm>
          <a:prstGeom prst="rect">
            <a:avLst/>
          </a:prstGeom>
          <a:solidFill>
            <a:schemeClr val="bg1"/>
          </a:solidFill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88900</xdr:colOff>
      <xdr:row>9</xdr:row>
      <xdr:rowOff>101600</xdr:rowOff>
    </xdr:from>
    <xdr:to>
      <xdr:col>3</xdr:col>
      <xdr:colOff>1122363</xdr:colOff>
      <xdr:row>12</xdr:row>
      <xdr:rowOff>112566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2247900"/>
          <a:ext cx="1033463" cy="544366"/>
        </a:xfrm>
        <a:prstGeom prst="rect">
          <a:avLst/>
        </a:prstGeom>
      </xdr:spPr>
    </xdr:pic>
    <xdr:clientData/>
  </xdr:twoCellAnchor>
  <xdr:oneCellAnchor>
    <xdr:from>
      <xdr:col>3</xdr:col>
      <xdr:colOff>220001</xdr:colOff>
      <xdr:row>40</xdr:row>
      <xdr:rowOff>24845</xdr:rowOff>
    </xdr:from>
    <xdr:ext cx="602613" cy="361896"/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87939" y="8269537"/>
          <a:ext cx="602613" cy="361896"/>
        </a:xfrm>
        <a:prstGeom prst="rect">
          <a:avLst/>
        </a:prstGeom>
      </xdr:spPr>
    </xdr:pic>
    <xdr:clientData/>
  </xdr:oneCellAnchor>
  <xdr:twoCellAnchor editAs="oneCell">
    <xdr:from>
      <xdr:col>3</xdr:col>
      <xdr:colOff>32148</xdr:colOff>
      <xdr:row>15</xdr:row>
      <xdr:rowOff>124222</xdr:rowOff>
    </xdr:from>
    <xdr:to>
      <xdr:col>3</xdr:col>
      <xdr:colOff>1084381</xdr:colOff>
      <xdr:row>19</xdr:row>
      <xdr:rowOff>12365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226" y="3517503"/>
          <a:ext cx="1052233" cy="642206"/>
        </a:xfrm>
        <a:prstGeom prst="rect">
          <a:avLst/>
        </a:prstGeom>
      </xdr:spPr>
    </xdr:pic>
    <xdr:clientData/>
  </xdr:twoCellAnchor>
  <xdr:twoCellAnchor editAs="oneCell">
    <xdr:from>
      <xdr:col>3</xdr:col>
      <xdr:colOff>52369</xdr:colOff>
      <xdr:row>21</xdr:row>
      <xdr:rowOff>19826</xdr:rowOff>
    </xdr:from>
    <xdr:to>
      <xdr:col>3</xdr:col>
      <xdr:colOff>1093172</xdr:colOff>
      <xdr:row>24</xdr:row>
      <xdr:rowOff>186075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447" y="3413107"/>
          <a:ext cx="1040803" cy="731796"/>
        </a:xfrm>
        <a:prstGeom prst="rect">
          <a:avLst/>
        </a:prstGeom>
      </xdr:spPr>
    </xdr:pic>
    <xdr:clientData/>
  </xdr:twoCellAnchor>
  <xdr:twoCellAnchor editAs="oneCell">
    <xdr:from>
      <xdr:col>3</xdr:col>
      <xdr:colOff>89579</xdr:colOff>
      <xdr:row>33</xdr:row>
      <xdr:rowOff>101600</xdr:rowOff>
    </xdr:from>
    <xdr:to>
      <xdr:col>3</xdr:col>
      <xdr:colOff>1061893</xdr:colOff>
      <xdr:row>36</xdr:row>
      <xdr:rowOff>92458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57" y="6947694"/>
          <a:ext cx="972314" cy="556404"/>
        </a:xfrm>
        <a:prstGeom prst="rect">
          <a:avLst/>
        </a:prstGeom>
      </xdr:spPr>
    </xdr:pic>
    <xdr:clientData/>
  </xdr:twoCellAnchor>
  <xdr:twoCellAnchor editAs="oneCell">
    <xdr:from>
      <xdr:col>3</xdr:col>
      <xdr:colOff>222661</xdr:colOff>
      <xdr:row>47</xdr:row>
      <xdr:rowOff>155524</xdr:rowOff>
    </xdr:from>
    <xdr:to>
      <xdr:col>3</xdr:col>
      <xdr:colOff>890649</xdr:colOff>
      <xdr:row>49</xdr:row>
      <xdr:rowOff>165524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599" y="9365086"/>
          <a:ext cx="667988" cy="393473"/>
        </a:xfrm>
        <a:prstGeom prst="rect">
          <a:avLst/>
        </a:prstGeom>
      </xdr:spPr>
    </xdr:pic>
    <xdr:clientData/>
  </xdr:twoCellAnchor>
  <xdr:twoCellAnchor editAs="oneCell">
    <xdr:from>
      <xdr:col>3</xdr:col>
      <xdr:colOff>20115</xdr:colOff>
      <xdr:row>53</xdr:row>
      <xdr:rowOff>123700</xdr:rowOff>
    </xdr:from>
    <xdr:to>
      <xdr:col>3</xdr:col>
      <xdr:colOff>1130435</xdr:colOff>
      <xdr:row>55</xdr:row>
      <xdr:rowOff>129972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8053" y="10489869"/>
          <a:ext cx="1110320" cy="389745"/>
        </a:xfrm>
        <a:prstGeom prst="rect">
          <a:avLst/>
        </a:prstGeom>
      </xdr:spPr>
    </xdr:pic>
    <xdr:clientData/>
  </xdr:twoCellAnchor>
  <xdr:twoCellAnchor editAs="oneCell">
    <xdr:from>
      <xdr:col>3</xdr:col>
      <xdr:colOff>225779</xdr:colOff>
      <xdr:row>60</xdr:row>
      <xdr:rowOff>68036</xdr:rowOff>
    </xdr:from>
    <xdr:to>
      <xdr:col>3</xdr:col>
      <xdr:colOff>878203</xdr:colOff>
      <xdr:row>62</xdr:row>
      <xdr:rowOff>66631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717" y="11782549"/>
          <a:ext cx="652424" cy="382070"/>
        </a:xfrm>
        <a:prstGeom prst="rect">
          <a:avLst/>
        </a:prstGeom>
      </xdr:spPr>
    </xdr:pic>
    <xdr:clientData/>
  </xdr:twoCellAnchor>
  <xdr:twoCellAnchor editAs="oneCell">
    <xdr:from>
      <xdr:col>3</xdr:col>
      <xdr:colOff>38878</xdr:colOff>
      <xdr:row>26</xdr:row>
      <xdr:rowOff>174949</xdr:rowOff>
    </xdr:from>
    <xdr:to>
      <xdr:col>3</xdr:col>
      <xdr:colOff>1043341</xdr:colOff>
      <xdr:row>29</xdr:row>
      <xdr:rowOff>183456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3" y="5413699"/>
          <a:ext cx="1004463" cy="59167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94575</xdr:colOff>
      <xdr:row>16</xdr:row>
      <xdr:rowOff>42172</xdr:rowOff>
    </xdr:from>
    <xdr:to>
      <xdr:col>3</xdr:col>
      <xdr:colOff>991379</xdr:colOff>
      <xdr:row>18</xdr:row>
      <xdr:rowOff>2593</xdr:rowOff>
    </xdr:to>
    <xdr:pic>
      <xdr:nvPicPr>
        <xdr:cNvPr id="3" name="Рисунок 2" descr="Погонаж_L коробка.jpg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937" y="4299264"/>
          <a:ext cx="896804" cy="504707"/>
        </a:xfrm>
        <a:prstGeom prst="rect">
          <a:avLst/>
        </a:prstGeom>
      </xdr:spPr>
    </xdr:pic>
    <xdr:clientData/>
  </xdr:twoCellAnchor>
  <xdr:twoCellAnchor editAs="oneCell">
    <xdr:from>
      <xdr:col>3</xdr:col>
      <xdr:colOff>145790</xdr:colOff>
      <xdr:row>10</xdr:row>
      <xdr:rowOff>48596</xdr:rowOff>
    </xdr:from>
    <xdr:to>
      <xdr:col>3</xdr:col>
      <xdr:colOff>933599</xdr:colOff>
      <xdr:row>11</xdr:row>
      <xdr:rowOff>268373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0152" y="2672831"/>
          <a:ext cx="787809" cy="49192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328084</xdr:colOff>
      <xdr:row>22</xdr:row>
      <xdr:rowOff>120830</xdr:rowOff>
    </xdr:from>
    <xdr:to>
      <xdr:col>3</xdr:col>
      <xdr:colOff>783167</xdr:colOff>
      <xdr:row>24</xdr:row>
      <xdr:rowOff>31971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8924" r="44871" b="50427"/>
        <a:stretch>
          <a:fillRect/>
        </a:stretch>
      </xdr:blipFill>
      <xdr:spPr bwMode="auto">
        <a:xfrm>
          <a:off x="1509184" y="5845355"/>
          <a:ext cx="455083" cy="4635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222251</xdr:colOff>
      <xdr:row>26</xdr:row>
      <xdr:rowOff>233616</xdr:rowOff>
    </xdr:from>
    <xdr:to>
      <xdr:col>3</xdr:col>
      <xdr:colOff>730251</xdr:colOff>
      <xdr:row>31</xdr:row>
      <xdr:rowOff>248134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8382" t="6256" r="46062" b="17077"/>
        <a:stretch>
          <a:fillRect/>
        </a:stretch>
      </xdr:blipFill>
      <xdr:spPr bwMode="auto">
        <a:xfrm>
          <a:off x="1403351" y="7063041"/>
          <a:ext cx="508000" cy="13956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306919</xdr:colOff>
      <xdr:row>16</xdr:row>
      <xdr:rowOff>116417</xdr:rowOff>
    </xdr:from>
    <xdr:to>
      <xdr:col>3</xdr:col>
      <xdr:colOff>757416</xdr:colOff>
      <xdr:row>17</xdr:row>
      <xdr:rowOff>232833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20" r="-1" b="18148"/>
        <a:stretch/>
      </xdr:blipFill>
      <xdr:spPr>
        <a:xfrm>
          <a:off x="1488019" y="4183592"/>
          <a:ext cx="450497" cy="39264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328086</xdr:colOff>
      <xdr:row>8</xdr:row>
      <xdr:rowOff>74084</xdr:rowOff>
    </xdr:from>
    <xdr:to>
      <xdr:col>1</xdr:col>
      <xdr:colOff>814916</xdr:colOff>
      <xdr:row>9</xdr:row>
      <xdr:rowOff>521770</xdr:rowOff>
    </xdr:to>
    <xdr:pic>
      <xdr:nvPicPr>
        <xdr:cNvPr id="6" name="Рисунок 15" descr="корсика.png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4753" y="1873251"/>
          <a:ext cx="486830" cy="101918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10</xdr:row>
      <xdr:rowOff>232833</xdr:rowOff>
    </xdr:from>
    <xdr:to>
      <xdr:col>1</xdr:col>
      <xdr:colOff>929896</xdr:colOff>
      <xdr:row>11</xdr:row>
      <xdr:rowOff>334942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417" y="3175000"/>
          <a:ext cx="771146" cy="673609"/>
        </a:xfrm>
        <a:prstGeom prst="rect">
          <a:avLst/>
        </a:prstGeom>
      </xdr:spPr>
    </xdr:pic>
    <xdr:clientData/>
  </xdr:twoCellAnchor>
  <xdr:twoCellAnchor>
    <xdr:from>
      <xdr:col>1</xdr:col>
      <xdr:colOff>328086</xdr:colOff>
      <xdr:row>8</xdr:row>
      <xdr:rowOff>74084</xdr:rowOff>
    </xdr:from>
    <xdr:to>
      <xdr:col>1</xdr:col>
      <xdr:colOff>814916</xdr:colOff>
      <xdr:row>9</xdr:row>
      <xdr:rowOff>521770</xdr:rowOff>
    </xdr:to>
    <xdr:pic>
      <xdr:nvPicPr>
        <xdr:cNvPr id="4" name="Рисунок 15" descr="корсика.png">
          <a:extLst>
            <a:ext uri="{FF2B5EF4-FFF2-40B4-BE49-F238E27FC236}">
              <a16:creationId xmlns=""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5811" y="1731434"/>
          <a:ext cx="486830" cy="101918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10</xdr:row>
      <xdr:rowOff>232833</xdr:rowOff>
    </xdr:from>
    <xdr:to>
      <xdr:col>1</xdr:col>
      <xdr:colOff>929896</xdr:colOff>
      <xdr:row>11</xdr:row>
      <xdr:rowOff>334942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475" y="3033183"/>
          <a:ext cx="771146" cy="67360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338666</xdr:colOff>
      <xdr:row>8</xdr:row>
      <xdr:rowOff>190499</xdr:rowOff>
    </xdr:from>
    <xdr:to>
      <xdr:col>2</xdr:col>
      <xdr:colOff>875957</xdr:colOff>
      <xdr:row>9</xdr:row>
      <xdr:rowOff>719667</xdr:rowOff>
    </xdr:to>
    <xdr:pic>
      <xdr:nvPicPr>
        <xdr:cNvPr id="4" name="Рисунок 3" descr="корсика.png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20999" y="2148416"/>
          <a:ext cx="537291" cy="1365251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169334</xdr:colOff>
      <xdr:row>11</xdr:row>
      <xdr:rowOff>126998</xdr:rowOff>
    </xdr:from>
    <xdr:to>
      <xdr:col>2</xdr:col>
      <xdr:colOff>989248</xdr:colOff>
      <xdr:row>11</xdr:row>
      <xdr:rowOff>581151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67" y="4656665"/>
          <a:ext cx="819914" cy="454153"/>
        </a:xfrm>
        <a:prstGeom prst="rect">
          <a:avLst/>
        </a:prstGeom>
      </xdr:spPr>
    </xdr:pic>
    <xdr:clientData/>
  </xdr:twoCellAnchor>
  <xdr:twoCellAnchor editAs="oneCell">
    <xdr:from>
      <xdr:col>2</xdr:col>
      <xdr:colOff>107668</xdr:colOff>
      <xdr:row>10</xdr:row>
      <xdr:rowOff>139418</xdr:rowOff>
    </xdr:from>
    <xdr:to>
      <xdr:col>2</xdr:col>
      <xdr:colOff>927582</xdr:colOff>
      <xdr:row>10</xdr:row>
      <xdr:rowOff>666723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918" y="3780085"/>
          <a:ext cx="819914" cy="527305"/>
        </a:xfrm>
        <a:prstGeom prst="rect">
          <a:avLst/>
        </a:prstGeom>
      </xdr:spPr>
    </xdr:pic>
    <xdr:clientData/>
  </xdr:twoCellAnchor>
  <xdr:twoCellAnchor editAs="oneCell">
    <xdr:from>
      <xdr:col>2</xdr:col>
      <xdr:colOff>173001</xdr:colOff>
      <xdr:row>12</xdr:row>
      <xdr:rowOff>215333</xdr:rowOff>
    </xdr:from>
    <xdr:to>
      <xdr:col>2</xdr:col>
      <xdr:colOff>1026443</xdr:colOff>
      <xdr:row>13</xdr:row>
      <xdr:rowOff>212625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5334" y="5581083"/>
          <a:ext cx="853442" cy="420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216765</xdr:colOff>
      <xdr:row>8</xdr:row>
      <xdr:rowOff>174949</xdr:rowOff>
    </xdr:from>
    <xdr:to>
      <xdr:col>2</xdr:col>
      <xdr:colOff>836414</xdr:colOff>
      <xdr:row>12</xdr:row>
      <xdr:rowOff>278680</xdr:rowOff>
    </xdr:to>
    <xdr:pic>
      <xdr:nvPicPr>
        <xdr:cNvPr id="2" name="Рисунок 1" descr="корсика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224" y="2157704"/>
          <a:ext cx="619649" cy="1425568"/>
        </a:xfrm>
        <a:prstGeom prst="rect">
          <a:avLst/>
        </a:prstGeom>
      </xdr:spPr>
    </xdr:pic>
    <xdr:clientData/>
  </xdr:twoCellAnchor>
  <xdr:twoCellAnchor>
    <xdr:from>
      <xdr:col>2</xdr:col>
      <xdr:colOff>174642</xdr:colOff>
      <xdr:row>18</xdr:row>
      <xdr:rowOff>174949</xdr:rowOff>
    </xdr:from>
    <xdr:to>
      <xdr:col>2</xdr:col>
      <xdr:colOff>792665</xdr:colOff>
      <xdr:row>22</xdr:row>
      <xdr:rowOff>265663</xdr:rowOff>
    </xdr:to>
    <xdr:pic>
      <xdr:nvPicPr>
        <xdr:cNvPr id="3" name="Рисунок 2" descr="корсика.pn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5101" y="5462296"/>
          <a:ext cx="618023" cy="1412551"/>
        </a:xfrm>
        <a:prstGeom prst="rect">
          <a:avLst/>
        </a:prstGeom>
      </xdr:spPr>
    </xdr:pic>
    <xdr:clientData/>
  </xdr:twoCellAnchor>
  <xdr:twoCellAnchor>
    <xdr:from>
      <xdr:col>2</xdr:col>
      <xdr:colOff>193346</xdr:colOff>
      <xdr:row>13</xdr:row>
      <xdr:rowOff>184668</xdr:rowOff>
    </xdr:from>
    <xdr:to>
      <xdr:col>2</xdr:col>
      <xdr:colOff>811369</xdr:colOff>
      <xdr:row>17</xdr:row>
      <xdr:rowOff>288499</xdr:rowOff>
    </xdr:to>
    <xdr:pic>
      <xdr:nvPicPr>
        <xdr:cNvPr id="4" name="Рисунок 3" descr="корсика.png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3805" y="3819719"/>
          <a:ext cx="618023" cy="1425668"/>
        </a:xfrm>
        <a:prstGeom prst="rect">
          <a:avLst/>
        </a:prstGeom>
      </xdr:spPr>
    </xdr:pic>
    <xdr:clientData/>
  </xdr:twoCellAnchor>
  <xdr:twoCellAnchor>
    <xdr:from>
      <xdr:col>2</xdr:col>
      <xdr:colOff>208783</xdr:colOff>
      <xdr:row>28</xdr:row>
      <xdr:rowOff>184668</xdr:rowOff>
    </xdr:from>
    <xdr:to>
      <xdr:col>2</xdr:col>
      <xdr:colOff>825378</xdr:colOff>
      <xdr:row>32</xdr:row>
      <xdr:rowOff>276593</xdr:rowOff>
    </xdr:to>
    <xdr:pic>
      <xdr:nvPicPr>
        <xdr:cNvPr id="5" name="Рисунок 4" descr="корсика.png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242" y="8776607"/>
          <a:ext cx="616595" cy="1413762"/>
        </a:xfrm>
        <a:prstGeom prst="rect">
          <a:avLst/>
        </a:prstGeom>
      </xdr:spPr>
    </xdr:pic>
    <xdr:clientData/>
  </xdr:twoCellAnchor>
  <xdr:twoCellAnchor>
    <xdr:from>
      <xdr:col>2</xdr:col>
      <xdr:colOff>184407</xdr:colOff>
      <xdr:row>23</xdr:row>
      <xdr:rowOff>145791</xdr:rowOff>
    </xdr:from>
    <xdr:to>
      <xdr:col>2</xdr:col>
      <xdr:colOff>804056</xdr:colOff>
      <xdr:row>27</xdr:row>
      <xdr:rowOff>259149</xdr:rowOff>
    </xdr:to>
    <xdr:pic>
      <xdr:nvPicPr>
        <xdr:cNvPr id="6" name="Рисунок 5" descr="корсика.png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14866" y="7085434"/>
          <a:ext cx="619649" cy="14351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201084</xdr:colOff>
      <xdr:row>13</xdr:row>
      <xdr:rowOff>257735</xdr:rowOff>
    </xdr:from>
    <xdr:to>
      <xdr:col>2</xdr:col>
      <xdr:colOff>774628</xdr:colOff>
      <xdr:row>17</xdr:row>
      <xdr:rowOff>153563</xdr:rowOff>
    </xdr:to>
    <xdr:pic>
      <xdr:nvPicPr>
        <xdr:cNvPr id="2" name="Рисунок 170" descr="корсика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4849" y="3888441"/>
          <a:ext cx="573544" cy="1240534"/>
        </a:xfrm>
        <a:prstGeom prst="rect">
          <a:avLst/>
        </a:prstGeom>
      </xdr:spPr>
    </xdr:pic>
    <xdr:clientData/>
  </xdr:twoCellAnchor>
  <xdr:twoCellAnchor>
    <xdr:from>
      <xdr:col>2</xdr:col>
      <xdr:colOff>210262</xdr:colOff>
      <xdr:row>18</xdr:row>
      <xdr:rowOff>278281</xdr:rowOff>
    </xdr:from>
    <xdr:to>
      <xdr:col>2</xdr:col>
      <xdr:colOff>783806</xdr:colOff>
      <xdr:row>22</xdr:row>
      <xdr:rowOff>169129</xdr:rowOff>
    </xdr:to>
    <xdr:pic>
      <xdr:nvPicPr>
        <xdr:cNvPr id="3" name="Рисунок 171" descr="корсика.png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4027" y="5589869"/>
          <a:ext cx="573544" cy="1235554"/>
        </a:xfrm>
        <a:prstGeom prst="rect">
          <a:avLst/>
        </a:prstGeom>
      </xdr:spPr>
    </xdr:pic>
    <xdr:clientData/>
  </xdr:twoCellAnchor>
  <xdr:twoCellAnchor>
    <xdr:from>
      <xdr:col>2</xdr:col>
      <xdr:colOff>196122</xdr:colOff>
      <xdr:row>8</xdr:row>
      <xdr:rowOff>257737</xdr:rowOff>
    </xdr:from>
    <xdr:to>
      <xdr:col>2</xdr:col>
      <xdr:colOff>763109</xdr:colOff>
      <xdr:row>12</xdr:row>
      <xdr:rowOff>165871</xdr:rowOff>
    </xdr:to>
    <xdr:pic>
      <xdr:nvPicPr>
        <xdr:cNvPr id="4" name="Рисунок 174" descr="корсика.png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9887" y="2207561"/>
          <a:ext cx="566987" cy="1252839"/>
        </a:xfrm>
        <a:prstGeom prst="rect">
          <a:avLst/>
        </a:prstGeom>
      </xdr:spPr>
    </xdr:pic>
    <xdr:clientData/>
  </xdr:twoCellAnchor>
  <xdr:twoCellAnchor>
    <xdr:from>
      <xdr:col>2</xdr:col>
      <xdr:colOff>205348</xdr:colOff>
      <xdr:row>23</xdr:row>
      <xdr:rowOff>235323</xdr:rowOff>
    </xdr:from>
    <xdr:to>
      <xdr:col>2</xdr:col>
      <xdr:colOff>772335</xdr:colOff>
      <xdr:row>27</xdr:row>
      <xdr:rowOff>138477</xdr:rowOff>
    </xdr:to>
    <xdr:pic>
      <xdr:nvPicPr>
        <xdr:cNvPr id="5" name="Рисунок 176" descr="корсика.png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9113" y="7227794"/>
          <a:ext cx="566987" cy="12478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230718</xdr:colOff>
      <xdr:row>9</xdr:row>
      <xdr:rowOff>275166</xdr:rowOff>
    </xdr:from>
    <xdr:to>
      <xdr:col>2</xdr:col>
      <xdr:colOff>816878</xdr:colOff>
      <xdr:row>13</xdr:row>
      <xdr:rowOff>147635</xdr:rowOff>
    </xdr:to>
    <xdr:pic>
      <xdr:nvPicPr>
        <xdr:cNvPr id="2" name="Рисунок 15" descr="корсика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8218" y="2233083"/>
          <a:ext cx="586160" cy="1227135"/>
        </a:xfrm>
        <a:prstGeom prst="rect">
          <a:avLst/>
        </a:prstGeom>
      </xdr:spPr>
    </xdr:pic>
    <xdr:clientData/>
  </xdr:twoCellAnchor>
  <xdr:twoCellAnchor>
    <xdr:from>
      <xdr:col>2</xdr:col>
      <xdr:colOff>236684</xdr:colOff>
      <xdr:row>14</xdr:row>
      <xdr:rowOff>270621</xdr:rowOff>
    </xdr:from>
    <xdr:to>
      <xdr:col>2</xdr:col>
      <xdr:colOff>822844</xdr:colOff>
      <xdr:row>18</xdr:row>
      <xdr:rowOff>143089</xdr:rowOff>
    </xdr:to>
    <xdr:pic>
      <xdr:nvPicPr>
        <xdr:cNvPr id="3" name="Рисунок 16" descr="корсика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4" y="3921871"/>
          <a:ext cx="586160" cy="1227135"/>
        </a:xfrm>
        <a:prstGeom prst="rect">
          <a:avLst/>
        </a:prstGeom>
      </xdr:spPr>
    </xdr:pic>
    <xdr:clientData/>
  </xdr:twoCellAnchor>
  <xdr:twoCellAnchor>
    <xdr:from>
      <xdr:col>2</xdr:col>
      <xdr:colOff>228335</xdr:colOff>
      <xdr:row>20</xdr:row>
      <xdr:rowOff>0</xdr:rowOff>
    </xdr:from>
    <xdr:to>
      <xdr:col>2</xdr:col>
      <xdr:colOff>814495</xdr:colOff>
      <xdr:row>23</xdr:row>
      <xdr:rowOff>215369</xdr:rowOff>
    </xdr:to>
    <xdr:pic>
      <xdr:nvPicPr>
        <xdr:cNvPr id="4" name="Рисунок 17" descr="корсика.png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5835" y="5683250"/>
          <a:ext cx="586160" cy="1231369"/>
        </a:xfrm>
        <a:prstGeom prst="rect">
          <a:avLst/>
        </a:prstGeom>
      </xdr:spPr>
    </xdr:pic>
    <xdr:clientData/>
  </xdr:twoCellAnchor>
  <xdr:twoCellAnchor>
    <xdr:from>
      <xdr:col>2</xdr:col>
      <xdr:colOff>241858</xdr:colOff>
      <xdr:row>24</xdr:row>
      <xdr:rowOff>315383</xdr:rowOff>
    </xdr:from>
    <xdr:to>
      <xdr:col>2</xdr:col>
      <xdr:colOff>788616</xdr:colOff>
      <xdr:row>28</xdr:row>
      <xdr:rowOff>201931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358" y="7353300"/>
          <a:ext cx="546758" cy="1241214"/>
        </a:xfrm>
        <a:prstGeom prst="rect">
          <a:avLst/>
        </a:prstGeom>
      </xdr:spPr>
    </xdr:pic>
    <xdr:clientData/>
  </xdr:twoCellAnchor>
  <xdr:twoCellAnchor>
    <xdr:from>
      <xdr:col>2</xdr:col>
      <xdr:colOff>254000</xdr:colOff>
      <xdr:row>40</xdr:row>
      <xdr:rowOff>264583</xdr:rowOff>
    </xdr:from>
    <xdr:to>
      <xdr:col>2</xdr:col>
      <xdr:colOff>839285</xdr:colOff>
      <xdr:row>44</xdr:row>
      <xdr:rowOff>147290</xdr:rowOff>
    </xdr:to>
    <xdr:pic>
      <xdr:nvPicPr>
        <xdr:cNvPr id="6" name="Рисунок 24" descr="корсика.png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77850" y="11589808"/>
          <a:ext cx="585285" cy="578032"/>
        </a:xfrm>
        <a:prstGeom prst="rect">
          <a:avLst/>
        </a:prstGeom>
      </xdr:spPr>
    </xdr:pic>
    <xdr:clientData/>
  </xdr:twoCellAnchor>
  <xdr:twoCellAnchor>
    <xdr:from>
      <xdr:col>2</xdr:col>
      <xdr:colOff>158750</xdr:colOff>
      <xdr:row>35</xdr:row>
      <xdr:rowOff>254000</xdr:rowOff>
    </xdr:from>
    <xdr:to>
      <xdr:col>2</xdr:col>
      <xdr:colOff>744034</xdr:colOff>
      <xdr:row>39</xdr:row>
      <xdr:rowOff>132471</xdr:rowOff>
    </xdr:to>
    <xdr:pic>
      <xdr:nvPicPr>
        <xdr:cNvPr id="7" name="Рисунок 18" descr="корсика.png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2600" y="10874375"/>
          <a:ext cx="585284" cy="5642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203201</xdr:colOff>
      <xdr:row>9</xdr:row>
      <xdr:rowOff>232833</xdr:rowOff>
    </xdr:from>
    <xdr:to>
      <xdr:col>2</xdr:col>
      <xdr:colOff>788485</xdr:colOff>
      <xdr:row>13</xdr:row>
      <xdr:rowOff>111305</xdr:rowOff>
    </xdr:to>
    <xdr:pic>
      <xdr:nvPicPr>
        <xdr:cNvPr id="2" name="Рисунок 18" descr="корсика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0701" y="2190750"/>
          <a:ext cx="585284" cy="1233138"/>
        </a:xfrm>
        <a:prstGeom prst="rect">
          <a:avLst/>
        </a:prstGeom>
      </xdr:spPr>
    </xdr:pic>
    <xdr:clientData/>
  </xdr:twoCellAnchor>
  <xdr:twoCellAnchor>
    <xdr:from>
      <xdr:col>2</xdr:col>
      <xdr:colOff>170778</xdr:colOff>
      <xdr:row>14</xdr:row>
      <xdr:rowOff>332941</xdr:rowOff>
    </xdr:from>
    <xdr:to>
      <xdr:col>2</xdr:col>
      <xdr:colOff>756062</xdr:colOff>
      <xdr:row>18</xdr:row>
      <xdr:rowOff>215645</xdr:rowOff>
    </xdr:to>
    <xdr:pic>
      <xdr:nvPicPr>
        <xdr:cNvPr id="3" name="Рисунок 19" descr="корсика.png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8278" y="3984191"/>
          <a:ext cx="585284" cy="1237371"/>
        </a:xfrm>
        <a:prstGeom prst="rect">
          <a:avLst/>
        </a:prstGeom>
      </xdr:spPr>
    </xdr:pic>
    <xdr:clientData/>
  </xdr:twoCellAnchor>
  <xdr:twoCellAnchor>
    <xdr:from>
      <xdr:col>2</xdr:col>
      <xdr:colOff>147729</xdr:colOff>
      <xdr:row>19</xdr:row>
      <xdr:rowOff>275167</xdr:rowOff>
    </xdr:from>
    <xdr:to>
      <xdr:col>2</xdr:col>
      <xdr:colOff>733014</xdr:colOff>
      <xdr:row>23</xdr:row>
      <xdr:rowOff>153641</xdr:rowOff>
    </xdr:to>
    <xdr:pic>
      <xdr:nvPicPr>
        <xdr:cNvPr id="4" name="Рисунок 20" descr="корсика.png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5229" y="5619750"/>
          <a:ext cx="585285" cy="1233141"/>
        </a:xfrm>
        <a:prstGeom prst="rect">
          <a:avLst/>
        </a:prstGeom>
      </xdr:spPr>
    </xdr:pic>
    <xdr:clientData/>
  </xdr:twoCellAnchor>
  <xdr:twoCellAnchor>
    <xdr:from>
      <xdr:col>2</xdr:col>
      <xdr:colOff>234083</xdr:colOff>
      <xdr:row>24</xdr:row>
      <xdr:rowOff>281517</xdr:rowOff>
    </xdr:from>
    <xdr:to>
      <xdr:col>2</xdr:col>
      <xdr:colOff>819368</xdr:colOff>
      <xdr:row>28</xdr:row>
      <xdr:rowOff>164225</xdr:rowOff>
    </xdr:to>
    <xdr:pic>
      <xdr:nvPicPr>
        <xdr:cNvPr id="5" name="Рисунок 24" descr="корсика.png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1583" y="7319434"/>
          <a:ext cx="585285" cy="123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193675</xdr:colOff>
      <xdr:row>8</xdr:row>
      <xdr:rowOff>242647</xdr:rowOff>
    </xdr:from>
    <xdr:to>
      <xdr:col>2</xdr:col>
      <xdr:colOff>732231</xdr:colOff>
      <xdr:row>12</xdr:row>
      <xdr:rowOff>67325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5" y="2195272"/>
          <a:ext cx="538556" cy="1158178"/>
        </a:xfrm>
        <a:prstGeom prst="rect">
          <a:avLst/>
        </a:prstGeom>
      </xdr:spPr>
    </xdr:pic>
    <xdr:clientData/>
  </xdr:twoCellAnchor>
  <xdr:twoCellAnchor>
    <xdr:from>
      <xdr:col>2</xdr:col>
      <xdr:colOff>212973</xdr:colOff>
      <xdr:row>13</xdr:row>
      <xdr:rowOff>276225</xdr:rowOff>
    </xdr:from>
    <xdr:to>
      <xdr:col>2</xdr:col>
      <xdr:colOff>751529</xdr:colOff>
      <xdr:row>17</xdr:row>
      <xdr:rowOff>123189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823" y="3895725"/>
          <a:ext cx="538556" cy="1180464"/>
        </a:xfrm>
        <a:prstGeom prst="rect">
          <a:avLst/>
        </a:prstGeom>
      </xdr:spPr>
    </xdr:pic>
    <xdr:clientData/>
  </xdr:twoCellAnchor>
  <xdr:twoCellAnchor>
    <xdr:from>
      <xdr:col>2</xdr:col>
      <xdr:colOff>196466</xdr:colOff>
      <xdr:row>18</xdr:row>
      <xdr:rowOff>255185</xdr:rowOff>
    </xdr:from>
    <xdr:to>
      <xdr:col>2</xdr:col>
      <xdr:colOff>735022</xdr:colOff>
      <xdr:row>22</xdr:row>
      <xdr:rowOff>102149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316" y="5541560"/>
          <a:ext cx="538556" cy="1180464"/>
        </a:xfrm>
        <a:prstGeom prst="rect">
          <a:avLst/>
        </a:prstGeom>
      </xdr:spPr>
    </xdr:pic>
    <xdr:clientData/>
  </xdr:twoCellAnchor>
  <xdr:twoCellAnchor>
    <xdr:from>
      <xdr:col>2</xdr:col>
      <xdr:colOff>218484</xdr:colOff>
      <xdr:row>23</xdr:row>
      <xdr:rowOff>250535</xdr:rowOff>
    </xdr:from>
    <xdr:to>
      <xdr:col>2</xdr:col>
      <xdr:colOff>756219</xdr:colOff>
      <xdr:row>27</xdr:row>
      <xdr:rowOff>79284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334" y="7203785"/>
          <a:ext cx="537735" cy="1162249"/>
        </a:xfrm>
        <a:prstGeom prst="rect">
          <a:avLst/>
        </a:prstGeom>
      </xdr:spPr>
    </xdr:pic>
    <xdr:clientData/>
  </xdr:twoCellAnchor>
  <xdr:twoCellAnchor>
    <xdr:from>
      <xdr:col>2</xdr:col>
      <xdr:colOff>84667</xdr:colOff>
      <xdr:row>31</xdr:row>
      <xdr:rowOff>269874</xdr:rowOff>
    </xdr:from>
    <xdr:to>
      <xdr:col>2</xdr:col>
      <xdr:colOff>963082</xdr:colOff>
      <xdr:row>35</xdr:row>
      <xdr:rowOff>254000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GrpSpPr/>
      </xdr:nvGrpSpPr>
      <xdr:grpSpPr>
        <a:xfrm>
          <a:off x="408517" y="9175749"/>
          <a:ext cx="878415" cy="1089026"/>
          <a:chOff x="9768418" y="11043707"/>
          <a:chExt cx="878415" cy="1084793"/>
        </a:xfrm>
      </xdr:grpSpPr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xmlns="" id="{00000000-0008-0000-0A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68418" y="11049000"/>
            <a:ext cx="431800" cy="1079500"/>
          </a:xfrm>
          <a:prstGeom prst="rect">
            <a:avLst/>
          </a:prstGeom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xmlns="" id="{00000000-0008-0000-0A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12917" y="11043707"/>
            <a:ext cx="433916" cy="1084791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21790</xdr:colOff>
      <xdr:row>38</xdr:row>
      <xdr:rowOff>5603</xdr:rowOff>
    </xdr:from>
    <xdr:to>
      <xdr:col>2</xdr:col>
      <xdr:colOff>984872</xdr:colOff>
      <xdr:row>42</xdr:row>
      <xdr:rowOff>31752</xdr:rowOff>
    </xdr:to>
    <xdr:grpSp>
      <xdr:nvGrpSpPr>
        <xdr:cNvPr id="9" name="Группа 8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GrpSpPr/>
      </xdr:nvGrpSpPr>
      <xdr:grpSpPr>
        <a:xfrm>
          <a:off x="345640" y="10845053"/>
          <a:ext cx="963082" cy="1131049"/>
          <a:chOff x="380378" y="11401985"/>
          <a:chExt cx="963082" cy="1124326"/>
        </a:xfrm>
      </xdr:grpSpPr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xmlns="" id="{00000000-0008-0000-0A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8188" y="11406965"/>
            <a:ext cx="485272" cy="1119345"/>
          </a:xfrm>
          <a:prstGeom prst="rect">
            <a:avLst/>
          </a:prstGeom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xmlns="" id="{00000000-0008-0000-0A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0378" y="11401985"/>
            <a:ext cx="465862" cy="1124326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52917</xdr:colOff>
      <xdr:row>44</xdr:row>
      <xdr:rowOff>105809</xdr:rowOff>
    </xdr:from>
    <xdr:to>
      <xdr:col>2</xdr:col>
      <xdr:colOff>967991</xdr:colOff>
      <xdr:row>48</xdr:row>
      <xdr:rowOff>142872</xdr:rowOff>
    </xdr:to>
    <xdr:grpSp>
      <xdr:nvGrpSpPr>
        <xdr:cNvPr id="12" name="Группа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GrpSpPr/>
      </xdr:nvGrpSpPr>
      <xdr:grpSpPr>
        <a:xfrm>
          <a:off x="376767" y="12602609"/>
          <a:ext cx="915074" cy="1141963"/>
          <a:chOff x="400299" y="13149456"/>
          <a:chExt cx="915074" cy="1135240"/>
        </a:xfrm>
      </xdr:grpSpPr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xmlns="" id="{00000000-0008-0000-0A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862406" y="13150101"/>
            <a:ext cx="452967" cy="1129962"/>
          </a:xfrm>
          <a:prstGeom prst="rect">
            <a:avLst/>
          </a:prstGeom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xmlns="" id="{00000000-0008-0000-0A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0299" y="13149456"/>
            <a:ext cx="455082" cy="113524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41709</xdr:colOff>
      <xdr:row>49</xdr:row>
      <xdr:rowOff>196724</xdr:rowOff>
    </xdr:from>
    <xdr:to>
      <xdr:col>2</xdr:col>
      <xdr:colOff>977741</xdr:colOff>
      <xdr:row>53</xdr:row>
      <xdr:rowOff>243416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GrpSpPr/>
      </xdr:nvGrpSpPr>
      <xdr:grpSpPr>
        <a:xfrm>
          <a:off x="365559" y="14074649"/>
          <a:ext cx="936032" cy="1151592"/>
          <a:chOff x="389091" y="14613092"/>
          <a:chExt cx="936032" cy="1144868"/>
        </a:xfrm>
      </xdr:grpSpPr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xmlns="" id="{00000000-0008-0000-0A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9091" y="14615763"/>
            <a:ext cx="457875" cy="1142197"/>
          </a:xfrm>
          <a:prstGeom prst="rect">
            <a:avLst/>
          </a:prstGeom>
        </xdr:spPr>
      </xdr:pic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xmlns="" id="{00000000-0008-0000-0A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2157" y="14613092"/>
            <a:ext cx="452966" cy="1142379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89480</xdr:colOff>
      <xdr:row>23</xdr:row>
      <xdr:rowOff>278342</xdr:rowOff>
    </xdr:from>
    <xdr:to>
      <xdr:col>2</xdr:col>
      <xdr:colOff>647891</xdr:colOff>
      <xdr:row>27</xdr:row>
      <xdr:rowOff>213784</xdr:rowOff>
    </xdr:to>
    <xdr:pic>
      <xdr:nvPicPr>
        <xdr:cNvPr id="2" name="Рисунок 106" descr="корсика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8480" y="6861175"/>
          <a:ext cx="558411" cy="1290109"/>
        </a:xfrm>
        <a:prstGeom prst="rect">
          <a:avLst/>
        </a:prstGeom>
      </xdr:spPr>
    </xdr:pic>
    <xdr:clientData/>
  </xdr:twoCellAnchor>
  <xdr:twoCellAnchor>
    <xdr:from>
      <xdr:col>2</xdr:col>
      <xdr:colOff>108503</xdr:colOff>
      <xdr:row>19</xdr:row>
      <xdr:rowOff>12805</xdr:rowOff>
    </xdr:from>
    <xdr:to>
      <xdr:col>2</xdr:col>
      <xdr:colOff>666914</xdr:colOff>
      <xdr:row>22</xdr:row>
      <xdr:rowOff>265745</xdr:rowOff>
    </xdr:to>
    <xdr:pic>
      <xdr:nvPicPr>
        <xdr:cNvPr id="3" name="Рисунок 108" descr="корсика.png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7503" y="5240972"/>
          <a:ext cx="558411" cy="1268940"/>
        </a:xfrm>
        <a:prstGeom prst="rect">
          <a:avLst/>
        </a:prstGeom>
      </xdr:spPr>
    </xdr:pic>
    <xdr:clientData/>
  </xdr:twoCellAnchor>
  <xdr:twoCellAnchor>
    <xdr:from>
      <xdr:col>1</xdr:col>
      <xdr:colOff>427528</xdr:colOff>
      <xdr:row>8</xdr:row>
      <xdr:rowOff>209550</xdr:rowOff>
    </xdr:from>
    <xdr:to>
      <xdr:col>2</xdr:col>
      <xdr:colOff>256452</xdr:colOff>
      <xdr:row>12</xdr:row>
      <xdr:rowOff>143824</xdr:rowOff>
    </xdr:to>
    <xdr:pic>
      <xdr:nvPicPr>
        <xdr:cNvPr id="4" name="Рисунок 99" descr="корсика.png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86278" y="1712383"/>
          <a:ext cx="559174" cy="1288941"/>
        </a:xfrm>
        <a:prstGeom prst="rect">
          <a:avLst/>
        </a:prstGeom>
      </xdr:spPr>
    </xdr:pic>
    <xdr:clientData/>
  </xdr:twoCellAnchor>
  <xdr:twoCellAnchor>
    <xdr:from>
      <xdr:col>1</xdr:col>
      <xdr:colOff>85827</xdr:colOff>
      <xdr:row>18</xdr:row>
      <xdr:rowOff>315491</xdr:rowOff>
    </xdr:from>
    <xdr:to>
      <xdr:col>1</xdr:col>
      <xdr:colOff>631256</xdr:colOff>
      <xdr:row>22</xdr:row>
      <xdr:rowOff>238654</xdr:rowOff>
    </xdr:to>
    <xdr:pic>
      <xdr:nvPicPr>
        <xdr:cNvPr id="5" name="Рисунок 107" descr="корсика.png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577" y="5204991"/>
          <a:ext cx="545429" cy="1277830"/>
        </a:xfrm>
        <a:prstGeom prst="rect">
          <a:avLst/>
        </a:prstGeom>
      </xdr:spPr>
    </xdr:pic>
    <xdr:clientData/>
  </xdr:twoCellAnchor>
  <xdr:twoCellAnchor>
    <xdr:from>
      <xdr:col>1</xdr:col>
      <xdr:colOff>486491</xdr:colOff>
      <xdr:row>13</xdr:row>
      <xdr:rowOff>215900</xdr:rowOff>
    </xdr:from>
    <xdr:to>
      <xdr:col>2</xdr:col>
      <xdr:colOff>268524</xdr:colOff>
      <xdr:row>17</xdr:row>
      <xdr:rowOff>144613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241" y="3412067"/>
          <a:ext cx="512283" cy="1283379"/>
        </a:xfrm>
        <a:prstGeom prst="rect">
          <a:avLst/>
        </a:prstGeom>
      </xdr:spPr>
    </xdr:pic>
    <xdr:clientData/>
  </xdr:twoCellAnchor>
  <xdr:twoCellAnchor>
    <xdr:from>
      <xdr:col>1</xdr:col>
      <xdr:colOff>103716</xdr:colOff>
      <xdr:row>28</xdr:row>
      <xdr:rowOff>270004</xdr:rowOff>
    </xdr:from>
    <xdr:to>
      <xdr:col>1</xdr:col>
      <xdr:colOff>644988</xdr:colOff>
      <xdr:row>32</xdr:row>
      <xdr:rowOff>96436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466" y="8546171"/>
          <a:ext cx="541272" cy="1181098"/>
        </a:xfrm>
        <a:prstGeom prst="rect">
          <a:avLst/>
        </a:prstGeom>
      </xdr:spPr>
    </xdr:pic>
    <xdr:clientData/>
  </xdr:twoCellAnchor>
  <xdr:twoCellAnchor>
    <xdr:from>
      <xdr:col>2</xdr:col>
      <xdr:colOff>99388</xdr:colOff>
      <xdr:row>28</xdr:row>
      <xdr:rowOff>270932</xdr:rowOff>
    </xdr:from>
    <xdr:to>
      <xdr:col>2</xdr:col>
      <xdr:colOff>642824</xdr:colOff>
      <xdr:row>32</xdr:row>
      <xdr:rowOff>59468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88" y="8547099"/>
          <a:ext cx="543436" cy="1143202"/>
        </a:xfrm>
        <a:prstGeom prst="rect">
          <a:avLst/>
        </a:prstGeom>
      </xdr:spPr>
    </xdr:pic>
    <xdr:clientData/>
  </xdr:twoCellAnchor>
  <xdr:twoCellAnchor>
    <xdr:from>
      <xdr:col>1</xdr:col>
      <xdr:colOff>105151</xdr:colOff>
      <xdr:row>23</xdr:row>
      <xdr:rowOff>289982</xdr:rowOff>
    </xdr:from>
    <xdr:to>
      <xdr:col>1</xdr:col>
      <xdr:colOff>663563</xdr:colOff>
      <xdr:row>27</xdr:row>
      <xdr:rowOff>215369</xdr:rowOff>
    </xdr:to>
    <xdr:pic>
      <xdr:nvPicPr>
        <xdr:cNvPr id="9" name="Рисунок 105" descr="корсика.png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3901" y="6872815"/>
          <a:ext cx="558412" cy="12800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179412</xdr:colOff>
      <xdr:row>18</xdr:row>
      <xdr:rowOff>306917</xdr:rowOff>
    </xdr:from>
    <xdr:to>
      <xdr:col>2</xdr:col>
      <xdr:colOff>740060</xdr:colOff>
      <xdr:row>22</xdr:row>
      <xdr:rowOff>150903</xdr:rowOff>
    </xdr:to>
    <xdr:pic>
      <xdr:nvPicPr>
        <xdr:cNvPr id="2" name="Рисунок 39" descr="корсика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5745" y="5196417"/>
          <a:ext cx="560648" cy="1198653"/>
        </a:xfrm>
        <a:prstGeom prst="rect">
          <a:avLst/>
        </a:prstGeom>
      </xdr:spPr>
    </xdr:pic>
    <xdr:clientData/>
  </xdr:twoCellAnchor>
  <xdr:twoCellAnchor>
    <xdr:from>
      <xdr:col>2</xdr:col>
      <xdr:colOff>194402</xdr:colOff>
      <xdr:row>13</xdr:row>
      <xdr:rowOff>254471</xdr:rowOff>
    </xdr:from>
    <xdr:to>
      <xdr:col>2</xdr:col>
      <xdr:colOff>754671</xdr:colOff>
      <xdr:row>17</xdr:row>
      <xdr:rowOff>97516</xdr:rowOff>
    </xdr:to>
    <xdr:pic>
      <xdr:nvPicPr>
        <xdr:cNvPr id="3" name="Рисунок 42" descr="корсика.png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0735" y="3450638"/>
          <a:ext cx="560269" cy="1197711"/>
        </a:xfrm>
        <a:prstGeom prst="rect">
          <a:avLst/>
        </a:prstGeom>
      </xdr:spPr>
    </xdr:pic>
    <xdr:clientData/>
  </xdr:twoCellAnchor>
  <xdr:twoCellAnchor>
    <xdr:from>
      <xdr:col>2</xdr:col>
      <xdr:colOff>149290</xdr:colOff>
      <xdr:row>24</xdr:row>
      <xdr:rowOff>55503</xdr:rowOff>
    </xdr:from>
    <xdr:to>
      <xdr:col>2</xdr:col>
      <xdr:colOff>709559</xdr:colOff>
      <xdr:row>27</xdr:row>
      <xdr:rowOff>232981</xdr:rowOff>
    </xdr:to>
    <xdr:pic>
      <xdr:nvPicPr>
        <xdr:cNvPr id="4" name="Рисунок 43" descr="корсика.png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5623" y="6977003"/>
          <a:ext cx="560269" cy="1193478"/>
        </a:xfrm>
        <a:prstGeom prst="rect">
          <a:avLst/>
        </a:prstGeom>
      </xdr:spPr>
    </xdr:pic>
    <xdr:clientData/>
  </xdr:twoCellAnchor>
  <xdr:twoCellAnchor>
    <xdr:from>
      <xdr:col>2</xdr:col>
      <xdr:colOff>220133</xdr:colOff>
      <xdr:row>8</xdr:row>
      <xdr:rowOff>284104</xdr:rowOff>
    </xdr:from>
    <xdr:to>
      <xdr:col>2</xdr:col>
      <xdr:colOff>781139</xdr:colOff>
      <xdr:row>12</xdr:row>
      <xdr:rowOff>122915</xdr:rowOff>
    </xdr:to>
    <xdr:pic>
      <xdr:nvPicPr>
        <xdr:cNvPr id="5" name="Рисунок 44" descr="корсика.png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6466" y="1786937"/>
          <a:ext cx="561006" cy="1193478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169334</xdr:colOff>
      <xdr:row>28</xdr:row>
      <xdr:rowOff>264582</xdr:rowOff>
    </xdr:from>
    <xdr:to>
      <xdr:col>2</xdr:col>
      <xdr:colOff>687917</xdr:colOff>
      <xdr:row>32</xdr:row>
      <xdr:rowOff>126996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667" y="8540749"/>
          <a:ext cx="518583" cy="12170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166249</xdr:colOff>
      <xdr:row>23</xdr:row>
      <xdr:rowOff>149621</xdr:rowOff>
    </xdr:from>
    <xdr:to>
      <xdr:col>1</xdr:col>
      <xdr:colOff>770334</xdr:colOff>
      <xdr:row>27</xdr:row>
      <xdr:rowOff>296215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64687" y="6836965"/>
          <a:ext cx="604085" cy="1495969"/>
        </a:xfrm>
        <a:prstGeom prst="rect">
          <a:avLst/>
        </a:prstGeom>
      </xdr:spPr>
    </xdr:pic>
    <xdr:clientData/>
  </xdr:twoCellAnchor>
  <xdr:twoCellAnchor editAs="oneCell">
    <xdr:from>
      <xdr:col>1</xdr:col>
      <xdr:colOff>196055</xdr:colOff>
      <xdr:row>18</xdr:row>
      <xdr:rowOff>163063</xdr:rowOff>
    </xdr:from>
    <xdr:to>
      <xdr:col>1</xdr:col>
      <xdr:colOff>805655</xdr:colOff>
      <xdr:row>22</xdr:row>
      <xdr:rowOff>321567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94493" y="5163688"/>
          <a:ext cx="609600" cy="1507879"/>
        </a:xfrm>
        <a:prstGeom prst="rect">
          <a:avLst/>
        </a:prstGeom>
      </xdr:spPr>
    </xdr:pic>
    <xdr:clientData/>
  </xdr:twoCellAnchor>
  <xdr:twoCellAnchor editAs="oneCell">
    <xdr:from>
      <xdr:col>1</xdr:col>
      <xdr:colOff>226660</xdr:colOff>
      <xdr:row>13</xdr:row>
      <xdr:rowOff>160734</xdr:rowOff>
    </xdr:from>
    <xdr:to>
      <xdr:col>1</xdr:col>
      <xdr:colOff>833386</xdr:colOff>
      <xdr:row>17</xdr:row>
      <xdr:rowOff>313134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5098" y="3474640"/>
          <a:ext cx="606726" cy="1501775"/>
        </a:xfrm>
        <a:prstGeom prst="rect">
          <a:avLst/>
        </a:prstGeom>
      </xdr:spPr>
    </xdr:pic>
    <xdr:clientData/>
  </xdr:twoCellAnchor>
  <xdr:twoCellAnchor editAs="oneCell">
    <xdr:from>
      <xdr:col>1</xdr:col>
      <xdr:colOff>205073</xdr:colOff>
      <xdr:row>8</xdr:row>
      <xdr:rowOff>251221</xdr:rowOff>
    </xdr:from>
    <xdr:to>
      <xdr:col>1</xdr:col>
      <xdr:colOff>811212</xdr:colOff>
      <xdr:row>13</xdr:row>
      <xdr:rowOff>63202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03511" y="1878409"/>
          <a:ext cx="606139" cy="14986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5;&#1088;&#1072;&#1081;&#1089;%20&#1085;&#1072;%20&#1089;&#1082;&#1083;&#1072;&#1076;&#1089;&#1082;&#1080;&#1077;%20&#1087;&#1086;&#1079;&#1080;&#1094;&#1080;&#1080;%20%2012.03.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!!НАЦЕНКИ"/>
      <sheetName val="Наценки"/>
      <sheetName val="Склад_Грунт"/>
      <sheetName val="Склад_Эмаль"/>
      <sheetName val="Лист1"/>
    </sheetNames>
    <sheetDataSet>
      <sheetData sheetId="0" refreshError="1"/>
      <sheetData sheetId="1" refreshError="1">
        <row r="22">
          <cell r="G22">
            <v>1.65</v>
          </cell>
          <cell r="H22">
            <v>-0.05</v>
          </cell>
          <cell r="J22">
            <v>0.05</v>
          </cell>
          <cell r="K22">
            <v>0.2</v>
          </cell>
        </row>
        <row r="31">
          <cell r="H31">
            <v>0</v>
          </cell>
          <cell r="J31">
            <v>0.04</v>
          </cell>
          <cell r="K31">
            <v>0.15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topLeftCell="A8" workbookViewId="0">
      <selection activeCell="D23" sqref="D23"/>
    </sheetView>
  </sheetViews>
  <sheetFormatPr defaultRowHeight="15" outlineLevelRow="1"/>
  <cols>
    <col min="1" max="1" width="24.85546875" bestFit="1" customWidth="1"/>
  </cols>
  <sheetData>
    <row r="1" spans="1:2" hidden="1" outlineLevel="1"/>
    <row r="2" spans="1:2" hidden="1" outlineLevel="1"/>
    <row r="3" spans="1:2" ht="28.5" hidden="1" outlineLevel="1">
      <c r="A3" s="446" t="s">
        <v>67</v>
      </c>
      <c r="B3" s="447">
        <v>0.1</v>
      </c>
    </row>
    <row r="4" spans="1:2" ht="28.5" hidden="1" outlineLevel="1">
      <c r="A4" s="446" t="s">
        <v>49</v>
      </c>
      <c r="B4" s="447">
        <v>0.18</v>
      </c>
    </row>
    <row r="5" spans="1:2" ht="28.5" hidden="1" outlineLevel="1">
      <c r="A5" s="446" t="s">
        <v>308</v>
      </c>
      <c r="B5" s="447">
        <v>0.3</v>
      </c>
    </row>
    <row r="6" spans="1:2" ht="28.5" hidden="1" outlineLevel="1">
      <c r="A6" s="446" t="s">
        <v>313</v>
      </c>
      <c r="B6" s="447">
        <v>0.1</v>
      </c>
    </row>
    <row r="7" spans="1:2" hidden="1" outlineLevel="1"/>
    <row r="8" spans="1:2" collapsed="1"/>
  </sheetData>
  <sheetProtection password="E910" sheet="1" objects="1" scenarios="1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C2:P53"/>
  <sheetViews>
    <sheetView view="pageBreakPreview" zoomScale="130" zoomScaleSheetLayoutView="130" workbookViewId="0">
      <selection activeCell="P6" sqref="P6"/>
    </sheetView>
  </sheetViews>
  <sheetFormatPr defaultColWidth="12.42578125" defaultRowHeight="11.25" outlineLevelCol="1"/>
  <cols>
    <col min="1" max="2" width="2.42578125" style="17" customWidth="1"/>
    <col min="3" max="3" width="15.140625" style="17" customWidth="1"/>
    <col min="4" max="4" width="13.42578125" style="17" customWidth="1"/>
    <col min="5" max="5" width="12" style="17" customWidth="1"/>
    <col min="6" max="7" width="9.42578125" style="17" hidden="1" customWidth="1"/>
    <col min="8" max="8" width="12.85546875" style="350" hidden="1" customWidth="1" outlineLevel="1"/>
    <col min="9" max="9" width="12.85546875" style="17" hidden="1" customWidth="1" outlineLevel="1"/>
    <col min="10" max="10" width="12.85546875" style="66" bestFit="1" customWidth="1" collapsed="1"/>
    <col min="11" max="11" width="12.85546875" style="17" bestFit="1" customWidth="1"/>
    <col min="12" max="12" width="2.140625" style="17" customWidth="1"/>
    <col min="13" max="14" width="12.85546875" style="17" hidden="1" customWidth="1" outlineLevel="1"/>
    <col min="15" max="15" width="12.85546875" style="66" bestFit="1" customWidth="1" collapsed="1"/>
    <col min="16" max="16" width="12.85546875" style="17" bestFit="1" customWidth="1"/>
    <col min="17" max="16384" width="12.42578125" style="17"/>
  </cols>
  <sheetData>
    <row r="2" spans="3:16">
      <c r="D2" s="30"/>
      <c r="E2" s="31"/>
      <c r="F2" s="30"/>
      <c r="G2" s="31"/>
      <c r="H2" s="345"/>
      <c r="I2" s="30"/>
      <c r="J2" s="60"/>
      <c r="K2" s="30"/>
      <c r="M2" s="30"/>
      <c r="N2" s="30"/>
      <c r="O2" s="60"/>
      <c r="P2" s="30"/>
    </row>
    <row r="3" spans="3:16" ht="12">
      <c r="D3" s="30"/>
      <c r="E3" s="33"/>
      <c r="F3" s="173"/>
      <c r="G3" s="33"/>
      <c r="H3" s="346"/>
      <c r="I3" s="34"/>
      <c r="J3" s="34"/>
      <c r="K3" s="34"/>
      <c r="M3" s="310"/>
      <c r="N3" s="310"/>
      <c r="O3" s="310"/>
      <c r="P3" s="310"/>
    </row>
    <row r="4" spans="3:16" ht="12.75" customHeight="1">
      <c r="D4" s="30"/>
      <c r="E4" s="555"/>
      <c r="F4" s="555"/>
      <c r="G4" s="555"/>
      <c r="H4" s="555"/>
      <c r="I4" s="555"/>
      <c r="J4" s="555"/>
      <c r="K4" s="555"/>
      <c r="O4" s="17"/>
    </row>
    <row r="5" spans="3:16" ht="12.75" customHeight="1">
      <c r="D5" s="556"/>
      <c r="E5" s="556"/>
      <c r="F5" s="556"/>
      <c r="G5" s="556"/>
      <c r="H5" s="556"/>
      <c r="I5" s="556"/>
      <c r="J5" s="556"/>
      <c r="K5" s="556"/>
      <c r="O5" s="17"/>
    </row>
    <row r="6" spans="3:16" ht="20.25">
      <c r="C6" s="7" t="s">
        <v>0</v>
      </c>
      <c r="E6" s="591"/>
      <c r="F6" s="591"/>
      <c r="G6" s="591"/>
      <c r="H6" s="591"/>
      <c r="I6" s="591"/>
      <c r="J6" s="591"/>
      <c r="K6" s="591"/>
      <c r="O6" s="17"/>
      <c r="P6" s="485">
        <f>Содержание!D1</f>
        <v>44697</v>
      </c>
    </row>
    <row r="7" spans="3:16" ht="29.25" customHeight="1">
      <c r="C7" s="7"/>
      <c r="E7" s="311"/>
      <c r="F7" s="311"/>
      <c r="G7" s="311"/>
      <c r="H7" s="606" t="s">
        <v>301</v>
      </c>
      <c r="I7" s="606"/>
      <c r="J7" s="606"/>
      <c r="K7" s="606"/>
      <c r="L7" s="77"/>
      <c r="M7" s="606" t="s">
        <v>302</v>
      </c>
      <c r="N7" s="606"/>
      <c r="O7" s="606"/>
      <c r="P7" s="606"/>
    </row>
    <row r="8" spans="3:16" s="37" customFormat="1" ht="12" customHeight="1">
      <c r="C8" s="546" t="s">
        <v>1</v>
      </c>
      <c r="D8" s="546" t="s">
        <v>2</v>
      </c>
      <c r="E8" s="546" t="s">
        <v>3</v>
      </c>
      <c r="F8" s="569"/>
      <c r="G8" s="569" t="s">
        <v>262</v>
      </c>
      <c r="H8" s="553" t="s">
        <v>186</v>
      </c>
      <c r="I8" s="554" t="s">
        <v>187</v>
      </c>
      <c r="J8" s="554"/>
      <c r="K8" s="554"/>
      <c r="L8" s="77"/>
      <c r="M8" s="557" t="s">
        <v>186</v>
      </c>
      <c r="N8" s="558" t="s">
        <v>187</v>
      </c>
      <c r="O8" s="558"/>
      <c r="P8" s="558"/>
    </row>
    <row r="9" spans="3:16" s="37" customFormat="1" ht="12" customHeight="1">
      <c r="C9" s="546"/>
      <c r="D9" s="546"/>
      <c r="E9" s="546"/>
      <c r="F9" s="313" t="s">
        <v>209</v>
      </c>
      <c r="G9" s="313" t="s">
        <v>294</v>
      </c>
      <c r="H9" s="553"/>
      <c r="I9" s="176" t="s">
        <v>189</v>
      </c>
      <c r="J9" s="177" t="s">
        <v>190</v>
      </c>
      <c r="K9" s="176" t="s">
        <v>191</v>
      </c>
      <c r="L9" s="77"/>
      <c r="M9" s="557"/>
      <c r="N9" s="316" t="s">
        <v>189</v>
      </c>
      <c r="O9" s="317" t="s">
        <v>190</v>
      </c>
      <c r="P9" s="316" t="s">
        <v>191</v>
      </c>
    </row>
    <row r="10" spans="3:16" ht="26.45" customHeight="1">
      <c r="C10" s="610" t="s">
        <v>95</v>
      </c>
      <c r="D10" s="620" t="s">
        <v>22</v>
      </c>
      <c r="E10" s="391" t="s">
        <v>6</v>
      </c>
      <c r="F10" s="361">
        <f>CEILING(11050*(1+'!!!НАЦЕНКИ'!$B$4), 50)</f>
        <v>13050</v>
      </c>
      <c r="G10" s="361">
        <f>CEILING(F10*(1-39%), 10)</f>
        <v>7970</v>
      </c>
      <c r="H10" s="360">
        <f>FLOOR(J10*Наценки!$G$13, 50)</f>
        <v>13050</v>
      </c>
      <c r="I10" s="83">
        <f>CEILING(J10*(1+Наценки!$H$13), 50)</f>
        <v>7600</v>
      </c>
      <c r="J10" s="84">
        <f>G10</f>
        <v>7970</v>
      </c>
      <c r="K10" s="85">
        <f>CEILING(J10*(1+Наценки!$J$13), 50)</f>
        <v>8400</v>
      </c>
      <c r="M10" s="364">
        <f>FLOOR(O10*Наценки!$G$13, 50)</f>
        <v>11750</v>
      </c>
      <c r="N10" s="365">
        <f>CEILING(O10*(1+Наценки!$H$13), 50)</f>
        <v>6850</v>
      </c>
      <c r="O10" s="366">
        <f>CEILING(J10*0.9, 10)</f>
        <v>7180</v>
      </c>
      <c r="P10" s="365">
        <f>CEILING(O10*(1+Наценки!$J$13), 50)</f>
        <v>7550</v>
      </c>
    </row>
    <row r="11" spans="3:16" ht="26.45" customHeight="1">
      <c r="C11" s="610"/>
      <c r="D11" s="620"/>
      <c r="E11" s="392" t="s">
        <v>7</v>
      </c>
      <c r="F11" s="361">
        <f>CEILING($F$10*(1+Наценки!F3), 100)</f>
        <v>13800</v>
      </c>
      <c r="G11" s="361">
        <f t="shared" ref="G11:G29" si="0">CEILING(F11*(1-39%), 10)</f>
        <v>8420</v>
      </c>
      <c r="H11" s="374">
        <f>FLOOR(J11*Наценки!$G$13, 50)</f>
        <v>13800</v>
      </c>
      <c r="I11" s="42">
        <f>CEILING(J11*(1+Наценки!$H$13), 50)</f>
        <v>8000</v>
      </c>
      <c r="J11" s="43">
        <f t="shared" ref="J11:J29" si="1">G11</f>
        <v>8420</v>
      </c>
      <c r="K11" s="58">
        <f>CEILING(J11*(1+Наценки!$J$13), 50)</f>
        <v>8850</v>
      </c>
      <c r="M11" s="362">
        <f>FLOOR(O11*Наценки!$G$13, 50)</f>
        <v>12400</v>
      </c>
      <c r="N11" s="367">
        <f>CEILING(O11*(1+Наценки!$H$13), 50)</f>
        <v>7250</v>
      </c>
      <c r="O11" s="368">
        <f t="shared" ref="O11:O29" si="2">CEILING(J11*0.9, 10)</f>
        <v>7580</v>
      </c>
      <c r="P11" s="367">
        <f>CEILING(O11*(1+Наценки!$J$13), 50)</f>
        <v>8000</v>
      </c>
    </row>
    <row r="12" spans="3:16" ht="26.45" customHeight="1">
      <c r="C12" s="610"/>
      <c r="D12" s="620"/>
      <c r="E12" s="391" t="s">
        <v>8</v>
      </c>
      <c r="F12" s="361">
        <f>CEILING($F$10*(1+Наценки!F4), 100)</f>
        <v>14400</v>
      </c>
      <c r="G12" s="361">
        <f t="shared" si="0"/>
        <v>8790</v>
      </c>
      <c r="H12" s="375">
        <f>FLOOR(J12*Наценки!$G$13, 50)</f>
        <v>14400</v>
      </c>
      <c r="I12" s="39">
        <f>CEILING(J12*(1+Наценки!$H$13), 50)</f>
        <v>8400</v>
      </c>
      <c r="J12" s="40">
        <f t="shared" si="1"/>
        <v>8790</v>
      </c>
      <c r="K12" s="59">
        <f>CEILING(J12*(1+Наценки!$J$13), 50)</f>
        <v>9250</v>
      </c>
      <c r="M12" s="363">
        <f>FLOOR(O12*Наценки!$G$13, 50)</f>
        <v>12950</v>
      </c>
      <c r="N12" s="365">
        <f>CEILING(O12*(1+Наценки!$H$13), 50)</f>
        <v>7550</v>
      </c>
      <c r="O12" s="366">
        <f t="shared" si="2"/>
        <v>7920</v>
      </c>
      <c r="P12" s="365">
        <f>CEILING(O12*(1+Наценки!$J$13), 50)</f>
        <v>8350</v>
      </c>
    </row>
    <row r="13" spans="3:16" ht="26.45" customHeight="1">
      <c r="C13" s="610"/>
      <c r="D13" s="620"/>
      <c r="E13" s="392" t="s">
        <v>9</v>
      </c>
      <c r="F13" s="361">
        <f>CEILING($F$10*(1+Наценки!F5), 100)</f>
        <v>15100</v>
      </c>
      <c r="G13" s="361">
        <f t="shared" si="0"/>
        <v>9220</v>
      </c>
      <c r="H13" s="374">
        <f>FLOOR(J13*Наценки!$G$13, 50)</f>
        <v>15100</v>
      </c>
      <c r="I13" s="42">
        <f>CEILING(J13*(1+Наценки!$H$13), 50)</f>
        <v>8800</v>
      </c>
      <c r="J13" s="43">
        <f t="shared" si="1"/>
        <v>9220</v>
      </c>
      <c r="K13" s="58">
        <f>CEILING(J13*(1+Наценки!$J$13), 50)</f>
        <v>9700</v>
      </c>
      <c r="M13" s="362">
        <f>FLOOR(O13*Наценки!$G$13, 50)</f>
        <v>13600</v>
      </c>
      <c r="N13" s="367">
        <f>CEILING(O13*(1+Наценки!$H$13), 50)</f>
        <v>7900</v>
      </c>
      <c r="O13" s="368">
        <f t="shared" si="2"/>
        <v>8300</v>
      </c>
      <c r="P13" s="367">
        <f>CEILING(O13*(1+Наценки!$J$13), 50)</f>
        <v>8750</v>
      </c>
    </row>
    <row r="14" spans="3:16" ht="26.45" customHeight="1" thickBot="1">
      <c r="C14" s="576"/>
      <c r="D14" s="621"/>
      <c r="E14" s="393" t="s">
        <v>10</v>
      </c>
      <c r="F14" s="380">
        <f>CEILING($F$10*(1+Наценки!F6), 100)</f>
        <v>15700</v>
      </c>
      <c r="G14" s="380">
        <f t="shared" si="0"/>
        <v>9580</v>
      </c>
      <c r="H14" s="376">
        <f>FLOOR(J14*Наценки!$G$13, 50)</f>
        <v>15700</v>
      </c>
      <c r="I14" s="88">
        <f>CEILING(J14*(1+Наценки!$H$13), 50)</f>
        <v>9150</v>
      </c>
      <c r="J14" s="89">
        <f t="shared" si="1"/>
        <v>9580</v>
      </c>
      <c r="K14" s="90">
        <f>CEILING(J14*(1+Наценки!$J$13), 50)</f>
        <v>10100</v>
      </c>
      <c r="M14" s="384">
        <f>FLOOR(O14*Наценки!$G$13, 50)</f>
        <v>14150</v>
      </c>
      <c r="N14" s="385">
        <f>CEILING(O14*(1+Наценки!$H$13), 50)</f>
        <v>8200</v>
      </c>
      <c r="O14" s="386">
        <f t="shared" si="2"/>
        <v>8630</v>
      </c>
      <c r="P14" s="385">
        <f>CEILING(O14*(1+Наценки!$J$13), 50)</f>
        <v>9100</v>
      </c>
    </row>
    <row r="15" spans="3:16" ht="26.45" customHeight="1">
      <c r="C15" s="594" t="s">
        <v>263</v>
      </c>
      <c r="D15" s="611" t="s">
        <v>96</v>
      </c>
      <c r="E15" s="394" t="s">
        <v>6</v>
      </c>
      <c r="F15" s="361">
        <f>CEILING(13050*(1+'!!!НАЦЕНКИ'!$B$4), 50)</f>
        <v>15400</v>
      </c>
      <c r="G15" s="379">
        <f t="shared" si="0"/>
        <v>9400</v>
      </c>
      <c r="H15" s="360">
        <f>FLOOR(J15*Наценки!$G$13, 50)</f>
        <v>15400</v>
      </c>
      <c r="I15" s="83">
        <f>CEILING(J15*(1+Наценки!$H$13), 50)</f>
        <v>8950</v>
      </c>
      <c r="J15" s="84">
        <f t="shared" si="1"/>
        <v>9400</v>
      </c>
      <c r="K15" s="85">
        <f>CEILING(J15*(1+Наценки!$J$13), 50)</f>
        <v>9900</v>
      </c>
      <c r="M15" s="381">
        <f>FLOOR(O15*Наценки!$G$13, 50)</f>
        <v>13850</v>
      </c>
      <c r="N15" s="382">
        <f>CEILING(O15*(1+Наценки!$H$13), 50)</f>
        <v>8050</v>
      </c>
      <c r="O15" s="383">
        <f t="shared" si="2"/>
        <v>8460</v>
      </c>
      <c r="P15" s="382">
        <f>CEILING(O15*(1+Наценки!$J$13), 50)</f>
        <v>8900</v>
      </c>
    </row>
    <row r="16" spans="3:16" ht="26.45" customHeight="1">
      <c r="C16" s="610"/>
      <c r="D16" s="612"/>
      <c r="E16" s="392" t="s">
        <v>7</v>
      </c>
      <c r="F16" s="361">
        <f>CEILING($F$15*(1+Наценки!F3), 100)</f>
        <v>16200</v>
      </c>
      <c r="G16" s="361">
        <f t="shared" si="0"/>
        <v>9890</v>
      </c>
      <c r="H16" s="374">
        <f>FLOOR(J16*Наценки!$G$13, 50)</f>
        <v>16200</v>
      </c>
      <c r="I16" s="42">
        <f>CEILING(J16*(1+Наценки!$H$13), 50)</f>
        <v>9400</v>
      </c>
      <c r="J16" s="43">
        <f t="shared" si="1"/>
        <v>9890</v>
      </c>
      <c r="K16" s="58">
        <f>CEILING(J16*(1+Наценки!$J$13), 50)</f>
        <v>10400</v>
      </c>
      <c r="M16" s="362">
        <f>FLOOR(O16*Наценки!$G$13, 50)</f>
        <v>14600</v>
      </c>
      <c r="N16" s="367">
        <f>CEILING(O16*(1+Наценки!$H$13), 50)</f>
        <v>8500</v>
      </c>
      <c r="O16" s="368">
        <f t="shared" si="2"/>
        <v>8910</v>
      </c>
      <c r="P16" s="367">
        <f>CEILING(O16*(1+Наценки!$J$13), 50)</f>
        <v>9400</v>
      </c>
    </row>
    <row r="17" spans="3:16" ht="26.45" customHeight="1">
      <c r="C17" s="610"/>
      <c r="D17" s="612"/>
      <c r="E17" s="391" t="s">
        <v>8</v>
      </c>
      <c r="F17" s="361">
        <f>CEILING($F$10*(1+Наценки!F4), 100)</f>
        <v>14400</v>
      </c>
      <c r="G17" s="361">
        <f t="shared" si="0"/>
        <v>8790</v>
      </c>
      <c r="H17" s="375">
        <f>FLOOR(J17*Наценки!$G$13, 50)</f>
        <v>14400</v>
      </c>
      <c r="I17" s="39">
        <f>CEILING(J17*(1+Наценки!$H$13), 50)</f>
        <v>8400</v>
      </c>
      <c r="J17" s="40">
        <f t="shared" si="1"/>
        <v>8790</v>
      </c>
      <c r="K17" s="59">
        <f>CEILING(J17*(1+Наценки!$J$13), 50)</f>
        <v>9250</v>
      </c>
      <c r="M17" s="363">
        <f>FLOOR(O17*Наценки!$G$13, 50)</f>
        <v>12950</v>
      </c>
      <c r="N17" s="365">
        <f>CEILING(O17*(1+Наценки!$H$13), 50)</f>
        <v>7550</v>
      </c>
      <c r="O17" s="366">
        <f t="shared" si="2"/>
        <v>7920</v>
      </c>
      <c r="P17" s="365">
        <f>CEILING(O17*(1+Наценки!$J$13), 50)</f>
        <v>8350</v>
      </c>
    </row>
    <row r="18" spans="3:16" ht="26.45" customHeight="1">
      <c r="C18" s="610"/>
      <c r="D18" s="612"/>
      <c r="E18" s="392" t="s">
        <v>9</v>
      </c>
      <c r="F18" s="361">
        <f>CEILING($F$10*(1+Наценки!F5), 100)</f>
        <v>15100</v>
      </c>
      <c r="G18" s="361">
        <f t="shared" si="0"/>
        <v>9220</v>
      </c>
      <c r="H18" s="374">
        <f>FLOOR(J18*Наценки!$G$13, 50)</f>
        <v>15100</v>
      </c>
      <c r="I18" s="42">
        <f>CEILING(J18*(1+Наценки!$H$13), 50)</f>
        <v>8800</v>
      </c>
      <c r="J18" s="43">
        <f t="shared" si="1"/>
        <v>9220</v>
      </c>
      <c r="K18" s="58">
        <f>CEILING(J18*(1+Наценки!$J$13), 50)</f>
        <v>9700</v>
      </c>
      <c r="M18" s="362">
        <f>FLOOR(O18*Наценки!$G$13, 50)</f>
        <v>13600</v>
      </c>
      <c r="N18" s="367">
        <f>CEILING(O18*(1+Наценки!$H$13), 50)</f>
        <v>7900</v>
      </c>
      <c r="O18" s="368">
        <f t="shared" si="2"/>
        <v>8300</v>
      </c>
      <c r="P18" s="367">
        <f>CEILING(O18*(1+Наценки!$J$13), 50)</f>
        <v>8750</v>
      </c>
    </row>
    <row r="19" spans="3:16" ht="26.45" customHeight="1" thickBot="1">
      <c r="C19" s="576"/>
      <c r="D19" s="613"/>
      <c r="E19" s="393" t="s">
        <v>10</v>
      </c>
      <c r="F19" s="380">
        <f>CEILING($F$10*(1+Наценки!F6), 100)</f>
        <v>15700</v>
      </c>
      <c r="G19" s="380">
        <f t="shared" si="0"/>
        <v>9580</v>
      </c>
      <c r="H19" s="376">
        <f>FLOOR(J19*Наценки!$G$13, 50)</f>
        <v>15700</v>
      </c>
      <c r="I19" s="88">
        <f>CEILING(J19*(1+Наценки!$H$13), 50)</f>
        <v>9150</v>
      </c>
      <c r="J19" s="89">
        <f t="shared" si="1"/>
        <v>9580</v>
      </c>
      <c r="K19" s="90">
        <f>CEILING(J19*(1+Наценки!$J$13), 50)</f>
        <v>10100</v>
      </c>
      <c r="M19" s="384">
        <f>FLOOR(O19*Наценки!$G$13, 50)</f>
        <v>14150</v>
      </c>
      <c r="N19" s="385">
        <f>CEILING(O19*(1+Наценки!$H$13), 50)</f>
        <v>8200</v>
      </c>
      <c r="O19" s="386">
        <f t="shared" si="2"/>
        <v>8630</v>
      </c>
      <c r="P19" s="385">
        <f>CEILING(O19*(1+Наценки!$J$13), 50)</f>
        <v>9100</v>
      </c>
    </row>
    <row r="20" spans="3:16" ht="26.45" customHeight="1">
      <c r="C20" s="615" t="s">
        <v>264</v>
      </c>
      <c r="D20" s="616" t="s">
        <v>97</v>
      </c>
      <c r="E20" s="395" t="s">
        <v>6</v>
      </c>
      <c r="F20" s="361">
        <f>CEILING(14050*(1+'!!!НАЦЕНКИ'!$B$4), 50)</f>
        <v>16600</v>
      </c>
      <c r="G20" s="379">
        <f t="shared" si="0"/>
        <v>10130</v>
      </c>
      <c r="H20" s="360">
        <f>FLOOR(J20*Наценки!$G$13, 50)</f>
        <v>16600</v>
      </c>
      <c r="I20" s="83">
        <f>CEILING(J20*(1+Наценки!$H$13), 50)</f>
        <v>9650</v>
      </c>
      <c r="J20" s="84">
        <f t="shared" si="1"/>
        <v>10130</v>
      </c>
      <c r="K20" s="85">
        <f>CEILING(J20*(1+Наценки!$J$13), 50)</f>
        <v>10650</v>
      </c>
      <c r="M20" s="381">
        <f>FLOOR(O20*Наценки!$G$13, 50)</f>
        <v>14950</v>
      </c>
      <c r="N20" s="382">
        <f>CEILING(O20*(1+Наценки!$H$13), 50)</f>
        <v>8700</v>
      </c>
      <c r="O20" s="383">
        <f t="shared" si="2"/>
        <v>9120</v>
      </c>
      <c r="P20" s="382">
        <f>CEILING(O20*(1+Наценки!$J$13), 50)</f>
        <v>9600</v>
      </c>
    </row>
    <row r="21" spans="3:16" ht="26.45" customHeight="1">
      <c r="C21" s="610"/>
      <c r="D21" s="612"/>
      <c r="E21" s="392" t="s">
        <v>7</v>
      </c>
      <c r="F21" s="361">
        <f>CEILING($F$20*(1+Наценки!F3), 100)</f>
        <v>17500</v>
      </c>
      <c r="G21" s="361">
        <f t="shared" si="0"/>
        <v>10680</v>
      </c>
      <c r="H21" s="374">
        <f>FLOOR(J21*Наценки!$G$13, 50)</f>
        <v>17500</v>
      </c>
      <c r="I21" s="42">
        <f>CEILING(J21*(1+Наценки!$H$13), 50)</f>
        <v>10150</v>
      </c>
      <c r="J21" s="43">
        <f t="shared" si="1"/>
        <v>10680</v>
      </c>
      <c r="K21" s="58">
        <f>CEILING(J21*(1+Наценки!$J$13), 50)</f>
        <v>11250</v>
      </c>
      <c r="M21" s="362">
        <f>FLOOR(O21*Наценки!$G$13, 50)</f>
        <v>15750</v>
      </c>
      <c r="N21" s="367">
        <f>CEILING(O21*(1+Наценки!$H$13), 50)</f>
        <v>9150</v>
      </c>
      <c r="O21" s="368">
        <f t="shared" si="2"/>
        <v>9620</v>
      </c>
      <c r="P21" s="367">
        <f>CEILING(O21*(1+Наценки!$J$13), 50)</f>
        <v>10150</v>
      </c>
    </row>
    <row r="22" spans="3:16" ht="26.45" customHeight="1">
      <c r="C22" s="610"/>
      <c r="D22" s="612"/>
      <c r="E22" s="391" t="s">
        <v>8</v>
      </c>
      <c r="F22" s="361">
        <f>CEILING($F$20*(1+Наценки!F4), 100)</f>
        <v>18300</v>
      </c>
      <c r="G22" s="361">
        <f t="shared" si="0"/>
        <v>11170</v>
      </c>
      <c r="H22" s="375">
        <f>FLOOR(J22*Наценки!$G$13, 50)</f>
        <v>18300</v>
      </c>
      <c r="I22" s="39">
        <f>CEILING(J22*(1+Наценки!$H$13), 50)</f>
        <v>10650</v>
      </c>
      <c r="J22" s="40">
        <f t="shared" si="1"/>
        <v>11170</v>
      </c>
      <c r="K22" s="59">
        <f>CEILING(J22*(1+Наценки!$J$13), 50)</f>
        <v>11750</v>
      </c>
      <c r="M22" s="363">
        <f>FLOOR(O22*Наценки!$G$13, 50)</f>
        <v>16450</v>
      </c>
      <c r="N22" s="365">
        <f>CEILING(O22*(1+Наценки!$H$13), 50)</f>
        <v>9600</v>
      </c>
      <c r="O22" s="366">
        <f t="shared" si="2"/>
        <v>10060</v>
      </c>
      <c r="P22" s="365">
        <f>CEILING(O22*(1+Наценки!$J$13), 50)</f>
        <v>10600</v>
      </c>
    </row>
    <row r="23" spans="3:16" ht="26.45" customHeight="1">
      <c r="C23" s="610"/>
      <c r="D23" s="612"/>
      <c r="E23" s="392" t="s">
        <v>9</v>
      </c>
      <c r="F23" s="361">
        <f>CEILING($F$20*(1+Наценки!F5), 100)</f>
        <v>19100</v>
      </c>
      <c r="G23" s="361">
        <f t="shared" si="0"/>
        <v>11660</v>
      </c>
      <c r="H23" s="374">
        <f>FLOOR(J23*Наценки!$G$13, 50)</f>
        <v>19100</v>
      </c>
      <c r="I23" s="42">
        <f>CEILING(J23*(1+Наценки!$H$13), 50)</f>
        <v>11100</v>
      </c>
      <c r="J23" s="43">
        <f t="shared" si="1"/>
        <v>11660</v>
      </c>
      <c r="K23" s="58">
        <f>CEILING(J23*(1+Наценки!$J$13), 50)</f>
        <v>12250</v>
      </c>
      <c r="M23" s="362">
        <f>FLOOR(O23*Наценки!$G$13, 50)</f>
        <v>17200</v>
      </c>
      <c r="N23" s="367">
        <f>CEILING(O23*(1+Наценки!$H$13), 50)</f>
        <v>10000</v>
      </c>
      <c r="O23" s="368">
        <f t="shared" si="2"/>
        <v>10500</v>
      </c>
      <c r="P23" s="367">
        <f>CEILING(O23*(1+Наценки!$J$13), 50)</f>
        <v>11050</v>
      </c>
    </row>
    <row r="24" spans="3:16" ht="26.45" customHeight="1" thickBot="1">
      <c r="C24" s="576"/>
      <c r="D24" s="613"/>
      <c r="E24" s="393" t="s">
        <v>10</v>
      </c>
      <c r="F24" s="380">
        <f>CEILING($F$20*(1+Наценки!F6), 100)</f>
        <v>20000</v>
      </c>
      <c r="G24" s="380">
        <f t="shared" si="0"/>
        <v>12200</v>
      </c>
      <c r="H24" s="376">
        <f>FLOOR(J24*Наценки!$G$13, 50)</f>
        <v>20000</v>
      </c>
      <c r="I24" s="88">
        <f>CEILING(J24*(1+Наценки!$H$13), 50)</f>
        <v>11600</v>
      </c>
      <c r="J24" s="89">
        <f t="shared" si="1"/>
        <v>12200</v>
      </c>
      <c r="K24" s="90">
        <f>CEILING(J24*(1+Наценки!$J$13), 50)</f>
        <v>12850</v>
      </c>
      <c r="M24" s="384">
        <f>FLOOR(O24*Наценки!$G$13, 50)</f>
        <v>18000</v>
      </c>
      <c r="N24" s="385">
        <f>CEILING(O24*(1+Наценки!$H$13), 50)</f>
        <v>10450</v>
      </c>
      <c r="O24" s="386">
        <f t="shared" si="2"/>
        <v>10980</v>
      </c>
      <c r="P24" s="385">
        <f>CEILING(O24*(1+Наценки!$J$13), 50)</f>
        <v>11550</v>
      </c>
    </row>
    <row r="25" spans="3:16" ht="26.45" customHeight="1">
      <c r="C25" s="594" t="s">
        <v>265</v>
      </c>
      <c r="D25" s="611" t="s">
        <v>98</v>
      </c>
      <c r="E25" s="394" t="s">
        <v>6</v>
      </c>
      <c r="F25" s="361">
        <f>CEILING(15050*(1+'!!!НАЦЕНКИ'!$B$4), 50)</f>
        <v>17800</v>
      </c>
      <c r="G25" s="379">
        <f t="shared" si="0"/>
        <v>10860</v>
      </c>
      <c r="H25" s="360">
        <f>FLOOR(J25*Наценки!$G$13, 50)</f>
        <v>17800</v>
      </c>
      <c r="I25" s="83">
        <f>CEILING(J25*(1+Наценки!$H$13), 50)</f>
        <v>10350</v>
      </c>
      <c r="J25" s="84">
        <f t="shared" si="1"/>
        <v>10860</v>
      </c>
      <c r="K25" s="85">
        <f>CEILING(J25*(1+Наценки!$J$13), 50)</f>
        <v>11450</v>
      </c>
      <c r="M25" s="381">
        <f>FLOOR(O25*Наценки!$G$13, 50)</f>
        <v>16000</v>
      </c>
      <c r="N25" s="382">
        <f>CEILING(O25*(1+Наценки!$H$13), 50)</f>
        <v>9300</v>
      </c>
      <c r="O25" s="383">
        <f t="shared" si="2"/>
        <v>9780</v>
      </c>
      <c r="P25" s="382">
        <f>CEILING(O25*(1+Наценки!$J$13), 50)</f>
        <v>10300</v>
      </c>
    </row>
    <row r="26" spans="3:16" ht="26.45" customHeight="1">
      <c r="C26" s="610"/>
      <c r="D26" s="612"/>
      <c r="E26" s="392" t="s">
        <v>7</v>
      </c>
      <c r="F26" s="361">
        <f>CEILING($F$25*(1+Наценки!F3), 100)</f>
        <v>18700</v>
      </c>
      <c r="G26" s="361">
        <f t="shared" si="0"/>
        <v>11410</v>
      </c>
      <c r="H26" s="374">
        <f>FLOOR(J26*Наценки!$G$13, 50)</f>
        <v>18700</v>
      </c>
      <c r="I26" s="42">
        <f>CEILING(J26*(1+Наценки!$H$13), 50)</f>
        <v>10850</v>
      </c>
      <c r="J26" s="43">
        <f t="shared" si="1"/>
        <v>11410</v>
      </c>
      <c r="K26" s="58">
        <f>CEILING(J26*(1+Наценки!$J$13), 50)</f>
        <v>12000</v>
      </c>
      <c r="M26" s="362">
        <f>FLOOR(O26*Наценки!$G$13, 50)</f>
        <v>16800</v>
      </c>
      <c r="N26" s="367">
        <f>CEILING(O26*(1+Наценки!$H$13), 50)</f>
        <v>9800</v>
      </c>
      <c r="O26" s="368">
        <f t="shared" si="2"/>
        <v>10270</v>
      </c>
      <c r="P26" s="367">
        <f>CEILING(O26*(1+Наценки!$J$13), 50)</f>
        <v>10800</v>
      </c>
    </row>
    <row r="27" spans="3:16" ht="26.45" customHeight="1">
      <c r="C27" s="610"/>
      <c r="D27" s="612"/>
      <c r="E27" s="391" t="s">
        <v>8</v>
      </c>
      <c r="F27" s="361">
        <f>CEILING($F$25*(1+Наценки!F4), 100)</f>
        <v>19600</v>
      </c>
      <c r="G27" s="361">
        <f t="shared" si="0"/>
        <v>11960</v>
      </c>
      <c r="H27" s="375">
        <f>FLOOR(J27*Наценки!$G$13, 50)</f>
        <v>19600</v>
      </c>
      <c r="I27" s="39">
        <f>CEILING(J27*(1+Наценки!$H$13), 50)</f>
        <v>11400</v>
      </c>
      <c r="J27" s="40">
        <f t="shared" si="1"/>
        <v>11960</v>
      </c>
      <c r="K27" s="59">
        <f>CEILING(J27*(1+Наценки!$J$13), 50)</f>
        <v>12600</v>
      </c>
      <c r="M27" s="363">
        <f>FLOOR(O27*Наценки!$G$13, 50)</f>
        <v>17650</v>
      </c>
      <c r="N27" s="365">
        <f>CEILING(O27*(1+Наценки!$H$13), 50)</f>
        <v>10250</v>
      </c>
      <c r="O27" s="366">
        <f t="shared" si="2"/>
        <v>10770</v>
      </c>
      <c r="P27" s="365">
        <f>CEILING(O27*(1+Наценки!$J$13), 50)</f>
        <v>11350</v>
      </c>
    </row>
    <row r="28" spans="3:16" ht="26.45" customHeight="1">
      <c r="C28" s="610"/>
      <c r="D28" s="612"/>
      <c r="E28" s="392" t="s">
        <v>9</v>
      </c>
      <c r="F28" s="361">
        <f>CEILING($F$25*(1+Наценки!F5), 100)</f>
        <v>20500</v>
      </c>
      <c r="G28" s="361">
        <f t="shared" si="0"/>
        <v>12510</v>
      </c>
      <c r="H28" s="374">
        <f>FLOOR(J28*Наценки!$G$13, 50)</f>
        <v>20500</v>
      </c>
      <c r="I28" s="42">
        <f>CEILING(J28*(1+Наценки!$H$13), 50)</f>
        <v>11900</v>
      </c>
      <c r="J28" s="43">
        <f t="shared" si="1"/>
        <v>12510</v>
      </c>
      <c r="K28" s="58">
        <f>CEILING(J28*(1+Наценки!$J$13), 50)</f>
        <v>13150</v>
      </c>
      <c r="M28" s="362">
        <f>FLOOR(O28*Наценки!$G$13, 50)</f>
        <v>18450</v>
      </c>
      <c r="N28" s="367">
        <f>CEILING(O28*(1+Наценки!$H$13), 50)</f>
        <v>10700</v>
      </c>
      <c r="O28" s="368">
        <f t="shared" si="2"/>
        <v>11260</v>
      </c>
      <c r="P28" s="367">
        <f>CEILING(O28*(1+Наценки!$J$13), 50)</f>
        <v>11850</v>
      </c>
    </row>
    <row r="29" spans="3:16" ht="26.45" customHeight="1" thickBot="1">
      <c r="C29" s="576"/>
      <c r="D29" s="613"/>
      <c r="E29" s="393" t="s">
        <v>10</v>
      </c>
      <c r="F29" s="380">
        <f>CEILING($F$25*(1+Наценки!F6), 100)</f>
        <v>21400</v>
      </c>
      <c r="G29" s="380">
        <f t="shared" si="0"/>
        <v>13060</v>
      </c>
      <c r="H29" s="376">
        <f>FLOOR(J29*Наценки!$G$13, 50)</f>
        <v>21400</v>
      </c>
      <c r="I29" s="88">
        <f>CEILING(J29*(1+Наценки!$H$13), 50)</f>
        <v>12450</v>
      </c>
      <c r="J29" s="89">
        <f t="shared" si="1"/>
        <v>13060</v>
      </c>
      <c r="K29" s="90">
        <f>CEILING(J29*(1+Наценки!$J$13), 50)</f>
        <v>13750</v>
      </c>
      <c r="M29" s="384">
        <f>FLOOR(O29*Наценки!$G$13, 50)</f>
        <v>19250</v>
      </c>
      <c r="N29" s="385">
        <f>CEILING(O29*(1+Наценки!$H$13), 50)</f>
        <v>11200</v>
      </c>
      <c r="O29" s="386">
        <f t="shared" si="2"/>
        <v>11760</v>
      </c>
      <c r="P29" s="385">
        <f>CEILING(O29*(1+Наценки!$J$13), 50)</f>
        <v>12350</v>
      </c>
    </row>
    <row r="30" spans="3:16" s="47" customFormat="1" ht="12.75">
      <c r="C30" s="120"/>
      <c r="D30" s="120"/>
      <c r="H30" s="348"/>
      <c r="M30" s="51"/>
      <c r="N30" s="51"/>
      <c r="O30" s="51"/>
      <c r="P30" s="51"/>
    </row>
    <row r="31" spans="3:16" s="47" customFormat="1" ht="12" customHeight="1">
      <c r="C31" s="49" t="s">
        <v>105</v>
      </c>
      <c r="D31" s="50"/>
      <c r="E31" s="50"/>
      <c r="F31" s="51"/>
      <c r="G31" s="50"/>
      <c r="H31" s="349"/>
      <c r="I31" s="51"/>
      <c r="J31" s="51"/>
      <c r="K31" s="51"/>
      <c r="M31" s="51"/>
      <c r="N31" s="51"/>
      <c r="O31" s="51"/>
      <c r="P31" s="51"/>
    </row>
    <row r="32" spans="3:16" s="47" customFormat="1" ht="12" customHeight="1">
      <c r="C32" s="49"/>
      <c r="D32" s="50"/>
      <c r="E32" s="50"/>
      <c r="F32" s="51"/>
      <c r="G32" s="50"/>
      <c r="H32" s="349"/>
      <c r="I32" s="51"/>
      <c r="J32" s="51"/>
      <c r="K32" s="51"/>
      <c r="M32" s="51"/>
      <c r="N32" s="51"/>
      <c r="O32" s="51"/>
      <c r="P32" s="51"/>
    </row>
    <row r="33" spans="3:16" ht="12">
      <c r="C33" s="125" t="s">
        <v>179</v>
      </c>
      <c r="J33" s="17"/>
      <c r="M33" s="66"/>
      <c r="O33" s="17"/>
    </row>
    <row r="34" spans="3:16" s="37" customFormat="1" ht="20.100000000000001" customHeight="1">
      <c r="C34" s="546" t="s">
        <v>1</v>
      </c>
      <c r="D34" s="546" t="s">
        <v>2</v>
      </c>
      <c r="E34" s="546" t="s">
        <v>3</v>
      </c>
      <c r="F34" s="569"/>
      <c r="G34" s="569" t="s">
        <v>262</v>
      </c>
      <c r="H34" s="557" t="s">
        <v>186</v>
      </c>
      <c r="I34" s="622" t="s">
        <v>187</v>
      </c>
      <c r="J34" s="554"/>
      <c r="K34" s="554"/>
      <c r="M34" s="553" t="s">
        <v>186</v>
      </c>
      <c r="N34" s="554" t="s">
        <v>187</v>
      </c>
      <c r="O34" s="554"/>
      <c r="P34" s="554"/>
    </row>
    <row r="35" spans="3:16" s="37" customFormat="1" ht="20.100000000000001" customHeight="1">
      <c r="C35" s="546"/>
      <c r="D35" s="546"/>
      <c r="E35" s="546"/>
      <c r="F35" s="313" t="s">
        <v>209</v>
      </c>
      <c r="G35" s="313" t="s">
        <v>294</v>
      </c>
      <c r="H35" s="557"/>
      <c r="I35" s="369" t="s">
        <v>189</v>
      </c>
      <c r="J35" s="177" t="s">
        <v>190</v>
      </c>
      <c r="K35" s="176" t="s">
        <v>191</v>
      </c>
      <c r="M35" s="553"/>
      <c r="N35" s="176" t="s">
        <v>189</v>
      </c>
      <c r="O35" s="177" t="s">
        <v>190</v>
      </c>
      <c r="P35" s="176" t="s">
        <v>191</v>
      </c>
    </row>
    <row r="36" spans="3:16" ht="26.45" customHeight="1">
      <c r="C36" s="610" t="s">
        <v>267</v>
      </c>
      <c r="D36" s="612" t="s">
        <v>177</v>
      </c>
      <c r="E36" s="391" t="s">
        <v>6</v>
      </c>
      <c r="F36" s="361">
        <f>CEILING(14150*(1+'!!!НАЦЕНКИ'!$B$4), 50)</f>
        <v>16700</v>
      </c>
      <c r="G36" s="361">
        <f t="shared" ref="G36:G45" si="3">CEILING(F36*(1-39%), 10)</f>
        <v>10190</v>
      </c>
      <c r="H36" s="375">
        <f>FLOOR(J36*Наценки!$G$13, 50)</f>
        <v>16700</v>
      </c>
      <c r="I36" s="370">
        <f>CEILING(J36*(1+Наценки!$H$13), 50)</f>
        <v>9700</v>
      </c>
      <c r="J36" s="84">
        <f>G36</f>
        <v>10190</v>
      </c>
      <c r="K36" s="85">
        <f>CEILING(J36*(1+Наценки!$J$13), 50)</f>
        <v>10700</v>
      </c>
      <c r="M36" s="370">
        <f>FLOOR(O36*Наценки!$G$13, 50)</f>
        <v>15050</v>
      </c>
      <c r="N36" s="370">
        <f>CEILING(O36*(1+Наценки!$H$13), 50)</f>
        <v>8750</v>
      </c>
      <c r="O36" s="84">
        <f>CEILING(J36*0.9, 10)</f>
        <v>9180</v>
      </c>
      <c r="P36" s="85">
        <f>CEILING(O36*(1+Наценки!$J$13), 50)</f>
        <v>9650</v>
      </c>
    </row>
    <row r="37" spans="3:16" ht="26.45" customHeight="1">
      <c r="C37" s="610"/>
      <c r="D37" s="612"/>
      <c r="E37" s="392" t="s">
        <v>7</v>
      </c>
      <c r="F37" s="361">
        <f>CEILING('Серия FV'!$F$10*(1+Наценки!F3), 100)</f>
        <v>17600</v>
      </c>
      <c r="G37" s="361">
        <f t="shared" si="3"/>
        <v>10740</v>
      </c>
      <c r="H37" s="374">
        <f>FLOOR(J37*Наценки!$G$13, 50)</f>
        <v>17600</v>
      </c>
      <c r="I37" s="371">
        <f>CEILING(J37*(1+Наценки!$H$13), 50)</f>
        <v>10250</v>
      </c>
      <c r="J37" s="43">
        <f t="shared" ref="J37:J45" si="4">G37</f>
        <v>10740</v>
      </c>
      <c r="K37" s="58">
        <f>CEILING(J37*(1+Наценки!$J$13), 50)</f>
        <v>11300</v>
      </c>
      <c r="M37" s="371">
        <f>FLOOR(O37*Наценки!$G$13, 50)</f>
        <v>15850</v>
      </c>
      <c r="N37" s="371">
        <f>CEILING(O37*(1+Наценки!$H$13), 50)</f>
        <v>9200</v>
      </c>
      <c r="O37" s="43">
        <f t="shared" ref="O37:O45" si="5">CEILING(J37*0.9, 10)</f>
        <v>9670</v>
      </c>
      <c r="P37" s="58">
        <f>CEILING(O37*(1+Наценки!$J$13), 50)</f>
        <v>10200</v>
      </c>
    </row>
    <row r="38" spans="3:16" ht="26.45" customHeight="1">
      <c r="C38" s="610"/>
      <c r="D38" s="612"/>
      <c r="E38" s="391" t="s">
        <v>8</v>
      </c>
      <c r="F38" s="361">
        <f>CEILING('Серия FV'!$F$10*(1+Наценки!F4), 100)</f>
        <v>18400</v>
      </c>
      <c r="G38" s="361">
        <f t="shared" si="3"/>
        <v>11230</v>
      </c>
      <c r="H38" s="375">
        <f>FLOOR(J38*Наценки!$G$13, 50)</f>
        <v>18400</v>
      </c>
      <c r="I38" s="372">
        <f>CEILING(J38*(1+Наценки!$H$13), 50)</f>
        <v>10700</v>
      </c>
      <c r="J38" s="40">
        <f t="shared" si="4"/>
        <v>11230</v>
      </c>
      <c r="K38" s="59">
        <f>CEILING(J38*(1+Наценки!$J$13), 50)</f>
        <v>11800</v>
      </c>
      <c r="M38" s="372">
        <f>FLOOR(O38*Наценки!$G$13, 50)</f>
        <v>16550</v>
      </c>
      <c r="N38" s="372">
        <f>CEILING(O38*(1+Наценки!$H$13), 50)</f>
        <v>9650</v>
      </c>
      <c r="O38" s="40">
        <f t="shared" si="5"/>
        <v>10110</v>
      </c>
      <c r="P38" s="59">
        <f>CEILING(O38*(1+Наценки!$J$13), 50)</f>
        <v>10650</v>
      </c>
    </row>
    <row r="39" spans="3:16" ht="26.45" customHeight="1">
      <c r="C39" s="610"/>
      <c r="D39" s="612"/>
      <c r="E39" s="392" t="s">
        <v>9</v>
      </c>
      <c r="F39" s="361">
        <f>CEILING('Серия FV'!$F$10*(1+Наценки!F5), 100)</f>
        <v>19300</v>
      </c>
      <c r="G39" s="361">
        <f t="shared" si="3"/>
        <v>11780</v>
      </c>
      <c r="H39" s="374">
        <f>FLOOR(J39*Наценки!$G$13, 50)</f>
        <v>19300</v>
      </c>
      <c r="I39" s="371">
        <f>CEILING(J39*(1+Наценки!$H$13), 50)</f>
        <v>11200</v>
      </c>
      <c r="J39" s="43">
        <f t="shared" si="4"/>
        <v>11780</v>
      </c>
      <c r="K39" s="58">
        <f>CEILING(J39*(1+Наценки!$J$13), 50)</f>
        <v>12400</v>
      </c>
      <c r="M39" s="371">
        <f>FLOOR(O39*Наценки!$G$13, 50)</f>
        <v>17400</v>
      </c>
      <c r="N39" s="371">
        <f>CEILING(O39*(1+Наценки!$H$13), 50)</f>
        <v>10100</v>
      </c>
      <c r="O39" s="43">
        <f t="shared" si="5"/>
        <v>10610</v>
      </c>
      <c r="P39" s="58">
        <f>CEILING(O39*(1+Наценки!$J$13), 50)</f>
        <v>11150</v>
      </c>
    </row>
    <row r="40" spans="3:16" ht="26.45" customHeight="1" thickBot="1">
      <c r="C40" s="576"/>
      <c r="D40" s="613"/>
      <c r="E40" s="393" t="s">
        <v>10</v>
      </c>
      <c r="F40" s="380">
        <f>CEILING('Серия FV'!$F$10*(1+Наценки!F6), 100)</f>
        <v>20100</v>
      </c>
      <c r="G40" s="380">
        <f t="shared" si="3"/>
        <v>12270</v>
      </c>
      <c r="H40" s="376">
        <f>FLOOR(J40*Наценки!$G$13, 50)</f>
        <v>20100</v>
      </c>
      <c r="I40" s="373">
        <f>CEILING(J40*(1+Наценки!$H$13), 50)</f>
        <v>11700</v>
      </c>
      <c r="J40" s="89">
        <f t="shared" si="4"/>
        <v>12270</v>
      </c>
      <c r="K40" s="90">
        <f>CEILING(J40*(1+Наценки!$J$13), 50)</f>
        <v>12900</v>
      </c>
      <c r="M40" s="373">
        <f>FLOOR(O40*Наценки!$G$13, 50)</f>
        <v>18100</v>
      </c>
      <c r="N40" s="373">
        <f>CEILING(O40*(1+Наценки!$H$13), 50)</f>
        <v>10500</v>
      </c>
      <c r="O40" s="89">
        <f t="shared" si="5"/>
        <v>11050</v>
      </c>
      <c r="P40" s="90">
        <f>CEILING(O40*(1+Наценки!$J$13), 50)</f>
        <v>11650</v>
      </c>
    </row>
    <row r="41" spans="3:16" ht="26.45" customHeight="1">
      <c r="C41" s="594" t="s">
        <v>266</v>
      </c>
      <c r="D41" s="611" t="s">
        <v>178</v>
      </c>
      <c r="E41" s="394" t="s">
        <v>6</v>
      </c>
      <c r="F41" s="379">
        <f>F36</f>
        <v>16700</v>
      </c>
      <c r="G41" s="379">
        <f t="shared" si="3"/>
        <v>10190</v>
      </c>
      <c r="H41" s="387">
        <f>FLOOR(J41*Наценки!$G$13, 50)</f>
        <v>16700</v>
      </c>
      <c r="I41" s="370">
        <f>CEILING(J41*(1+Наценки!$H$13), 50)</f>
        <v>9700</v>
      </c>
      <c r="J41" s="84">
        <f t="shared" si="4"/>
        <v>10190</v>
      </c>
      <c r="K41" s="85">
        <f>CEILING(J41*(1+Наценки!$J$13), 50)</f>
        <v>10700</v>
      </c>
      <c r="M41" s="370">
        <f>FLOOR(O41*Наценки!$G$13, 50)</f>
        <v>15050</v>
      </c>
      <c r="N41" s="370">
        <f>CEILING(O41*(1+Наценки!$H$13), 50)</f>
        <v>8750</v>
      </c>
      <c r="O41" s="84">
        <f t="shared" si="5"/>
        <v>9180</v>
      </c>
      <c r="P41" s="85">
        <f>CEILING(O41*(1+Наценки!$J$13), 50)</f>
        <v>9650</v>
      </c>
    </row>
    <row r="42" spans="3:16" ht="26.45" customHeight="1">
      <c r="C42" s="610"/>
      <c r="D42" s="612"/>
      <c r="E42" s="392" t="s">
        <v>7</v>
      </c>
      <c r="F42" s="361">
        <f>CEILING('Серия FV'!$F$10*(1+Наценки!F3), 100)</f>
        <v>17600</v>
      </c>
      <c r="G42" s="361">
        <f t="shared" si="3"/>
        <v>10740</v>
      </c>
      <c r="H42" s="374">
        <f>FLOOR(J42*Наценки!$G$13, 50)</f>
        <v>17600</v>
      </c>
      <c r="I42" s="371">
        <f>CEILING(J42*(1+Наценки!$H$13), 50)</f>
        <v>10250</v>
      </c>
      <c r="J42" s="43">
        <f t="shared" si="4"/>
        <v>10740</v>
      </c>
      <c r="K42" s="58">
        <f>CEILING(J42*(1+Наценки!$J$13), 50)</f>
        <v>11300</v>
      </c>
      <c r="M42" s="371">
        <f>FLOOR(O42*Наценки!$G$13, 50)</f>
        <v>15850</v>
      </c>
      <c r="N42" s="371">
        <f>CEILING(O42*(1+Наценки!$H$13), 50)</f>
        <v>9200</v>
      </c>
      <c r="O42" s="43">
        <f t="shared" si="5"/>
        <v>9670</v>
      </c>
      <c r="P42" s="58">
        <f>CEILING(O42*(1+Наценки!$J$13), 50)</f>
        <v>10200</v>
      </c>
    </row>
    <row r="43" spans="3:16" ht="26.45" customHeight="1">
      <c r="C43" s="610"/>
      <c r="D43" s="612"/>
      <c r="E43" s="391" t="s">
        <v>8</v>
      </c>
      <c r="F43" s="361">
        <f>CEILING('Серия FV'!$F$10*(1+Наценки!F4), 100)</f>
        <v>18400</v>
      </c>
      <c r="G43" s="361">
        <f t="shared" si="3"/>
        <v>11230</v>
      </c>
      <c r="H43" s="375">
        <f>FLOOR(J43*Наценки!$G$13, 50)</f>
        <v>18400</v>
      </c>
      <c r="I43" s="372">
        <f>CEILING(J43*(1+Наценки!$H$13), 50)</f>
        <v>10700</v>
      </c>
      <c r="J43" s="40">
        <f t="shared" si="4"/>
        <v>11230</v>
      </c>
      <c r="K43" s="59">
        <f>CEILING(J43*(1+Наценки!$J$13), 50)</f>
        <v>11800</v>
      </c>
      <c r="M43" s="372">
        <f>FLOOR(O43*Наценки!$G$13, 50)</f>
        <v>16550</v>
      </c>
      <c r="N43" s="372">
        <f>CEILING(O43*(1+Наценки!$H$13), 50)</f>
        <v>9650</v>
      </c>
      <c r="O43" s="40">
        <f t="shared" si="5"/>
        <v>10110</v>
      </c>
      <c r="P43" s="59">
        <f>CEILING(O43*(1+Наценки!$J$13), 50)</f>
        <v>10650</v>
      </c>
    </row>
    <row r="44" spans="3:16" ht="26.45" customHeight="1">
      <c r="C44" s="610"/>
      <c r="D44" s="612"/>
      <c r="E44" s="392" t="s">
        <v>9</v>
      </c>
      <c r="F44" s="361">
        <f>CEILING('Серия FV'!$F$10*(1+Наценки!F5), 100)</f>
        <v>19300</v>
      </c>
      <c r="G44" s="361">
        <f t="shared" si="3"/>
        <v>11780</v>
      </c>
      <c r="H44" s="374">
        <f>FLOOR(J44*Наценки!$G$13, 50)</f>
        <v>19300</v>
      </c>
      <c r="I44" s="371">
        <f>CEILING(J44*(1+Наценки!$H$13), 50)</f>
        <v>11200</v>
      </c>
      <c r="J44" s="43">
        <f t="shared" si="4"/>
        <v>11780</v>
      </c>
      <c r="K44" s="58">
        <f>CEILING(J44*(1+Наценки!$J$13), 50)</f>
        <v>12400</v>
      </c>
      <c r="M44" s="371">
        <f>FLOOR(O44*Наценки!$G$13, 50)</f>
        <v>17400</v>
      </c>
      <c r="N44" s="371">
        <f>CEILING(O44*(1+Наценки!$H$13), 50)</f>
        <v>10100</v>
      </c>
      <c r="O44" s="43">
        <f t="shared" si="5"/>
        <v>10610</v>
      </c>
      <c r="P44" s="58">
        <f>CEILING(O44*(1+Наценки!$J$13), 50)</f>
        <v>11150</v>
      </c>
    </row>
    <row r="45" spans="3:16" ht="26.45" customHeight="1" thickBot="1">
      <c r="C45" s="576"/>
      <c r="D45" s="613"/>
      <c r="E45" s="393" t="s">
        <v>10</v>
      </c>
      <c r="F45" s="361">
        <f>CEILING('Серия FV'!$F$10*(1+Наценки!F6), 100)</f>
        <v>20100</v>
      </c>
      <c r="G45" s="361">
        <f t="shared" si="3"/>
        <v>12270</v>
      </c>
      <c r="H45" s="390">
        <f>FLOOR(J45*Наценки!$G$13, 50)</f>
        <v>20100</v>
      </c>
      <c r="I45" s="373">
        <f>CEILING(J45*(1+Наценки!$H$13), 50)</f>
        <v>11700</v>
      </c>
      <c r="J45" s="89">
        <f t="shared" si="4"/>
        <v>12270</v>
      </c>
      <c r="K45" s="90">
        <f>CEILING(J45*(1+Наценки!$J$13), 50)</f>
        <v>12900</v>
      </c>
      <c r="M45" s="373">
        <f>FLOOR(O45*Наценки!$G$13, 50)</f>
        <v>18100</v>
      </c>
      <c r="N45" s="373">
        <f>CEILING(O45*(1+Наценки!$H$13), 50)</f>
        <v>10500</v>
      </c>
      <c r="O45" s="89">
        <f t="shared" si="5"/>
        <v>11050</v>
      </c>
      <c r="P45" s="90">
        <f>CEILING(O45*(1+Наценки!$J$13), 50)</f>
        <v>11650</v>
      </c>
    </row>
    <row r="47" spans="3:16" ht="12.75">
      <c r="C47" s="601" t="s">
        <v>99</v>
      </c>
      <c r="D47" s="601"/>
      <c r="E47" s="601"/>
      <c r="F47" s="601"/>
      <c r="G47" s="601"/>
      <c r="H47" s="601"/>
      <c r="I47" s="601"/>
      <c r="J47" s="601"/>
      <c r="K47" s="601"/>
      <c r="L47" s="61"/>
      <c r="O47" s="17"/>
    </row>
    <row r="48" spans="3:16" ht="25.9" customHeight="1">
      <c r="C48" s="617" t="s">
        <v>1</v>
      </c>
      <c r="D48" s="617"/>
      <c r="E48" s="617"/>
      <c r="F48" s="569"/>
      <c r="G48" s="569" t="s">
        <v>262</v>
      </c>
      <c r="H48" s="553" t="s">
        <v>186</v>
      </c>
      <c r="I48" s="554" t="s">
        <v>187</v>
      </c>
      <c r="J48" s="554"/>
      <c r="K48" s="554"/>
      <c r="L48" s="61"/>
      <c r="M48" s="61"/>
      <c r="N48" s="61"/>
      <c r="O48" s="61"/>
      <c r="P48" s="61"/>
    </row>
    <row r="49" spans="3:16" ht="25.9" customHeight="1">
      <c r="C49" s="618" t="s">
        <v>249</v>
      </c>
      <c r="D49" s="619"/>
      <c r="E49" s="294" t="s">
        <v>295</v>
      </c>
      <c r="F49" s="313" t="s">
        <v>209</v>
      </c>
      <c r="G49" s="313" t="s">
        <v>294</v>
      </c>
      <c r="H49" s="553"/>
      <c r="I49" s="176" t="s">
        <v>189</v>
      </c>
      <c r="J49" s="177" t="s">
        <v>190</v>
      </c>
      <c r="K49" s="176" t="s">
        <v>191</v>
      </c>
      <c r="L49" s="61"/>
      <c r="M49" s="61"/>
      <c r="N49" s="61"/>
      <c r="O49" s="61"/>
      <c r="P49" s="61"/>
    </row>
    <row r="50" spans="3:16" ht="12.75" customHeight="1">
      <c r="C50" s="614" t="s">
        <v>100</v>
      </c>
      <c r="D50" s="614"/>
      <c r="E50" s="41" t="s">
        <v>101</v>
      </c>
      <c r="F50" s="401" t="s">
        <v>102</v>
      </c>
      <c r="G50" s="401" t="s">
        <v>102</v>
      </c>
      <c r="H50" s="377" t="s">
        <v>102</v>
      </c>
      <c r="I50" s="62" t="s">
        <v>102</v>
      </c>
      <c r="J50" s="62" t="s">
        <v>102</v>
      </c>
      <c r="K50" s="62" t="s">
        <v>102</v>
      </c>
      <c r="O50" s="17"/>
    </row>
    <row r="51" spans="3:16" ht="12.75">
      <c r="C51" s="614"/>
      <c r="D51" s="614"/>
      <c r="E51" s="38" t="s">
        <v>103</v>
      </c>
      <c r="F51" s="63">
        <f>CEILING(1250*(1+'!!!НАЦЕНКИ'!$B$5), 50)</f>
        <v>1650</v>
      </c>
      <c r="G51" s="296">
        <f t="shared" ref="G51:G53" si="6">CEILING(F51*(1-39%), 10)</f>
        <v>1010</v>
      </c>
      <c r="H51" s="378">
        <f>FLOOR(J51*Наценки!$G$13, 50)</f>
        <v>1650</v>
      </c>
      <c r="I51" s="64">
        <f>CEILING(J51*(1+Наценки!$H$13), 50)</f>
        <v>1000</v>
      </c>
      <c r="J51" s="388">
        <f t="shared" ref="J51:J53" si="7">G51</f>
        <v>1010</v>
      </c>
      <c r="K51" s="64">
        <f>CEILING(J51*(1+Наценки!$J$13), 50)</f>
        <v>1100</v>
      </c>
      <c r="L51" s="61"/>
      <c r="M51" s="61"/>
      <c r="N51" s="61"/>
      <c r="O51" s="61"/>
      <c r="P51" s="61"/>
    </row>
    <row r="52" spans="3:16" ht="12.75" customHeight="1">
      <c r="C52" s="614" t="s">
        <v>104</v>
      </c>
      <c r="D52" s="614"/>
      <c r="E52" s="41" t="s">
        <v>101</v>
      </c>
      <c r="F52" s="63">
        <f>CEILING(1000*(1+'!!!НАЦЕНКИ'!$B$5), 50)</f>
        <v>1300</v>
      </c>
      <c r="G52" s="295">
        <f t="shared" si="6"/>
        <v>800</v>
      </c>
      <c r="H52" s="377">
        <f>FLOOR(J52*Наценки!$G$13, 50)</f>
        <v>1300</v>
      </c>
      <c r="I52" s="65">
        <f>CEILING(J52*(1+Наценки!$H$13), 50)</f>
        <v>800</v>
      </c>
      <c r="J52" s="389">
        <f t="shared" si="7"/>
        <v>800</v>
      </c>
      <c r="K52" s="65">
        <f>CEILING(J52*(1+Наценки!$J$13), 50)</f>
        <v>850</v>
      </c>
      <c r="O52" s="17"/>
    </row>
    <row r="53" spans="3:16" ht="12.75">
      <c r="C53" s="614"/>
      <c r="D53" s="614"/>
      <c r="E53" s="38" t="s">
        <v>103</v>
      </c>
      <c r="F53" s="63">
        <f>F51+F52</f>
        <v>2950</v>
      </c>
      <c r="G53" s="296">
        <f t="shared" si="6"/>
        <v>1800</v>
      </c>
      <c r="H53" s="378">
        <f>FLOOR(J53*Наценки!$G$13, 50)</f>
        <v>2950</v>
      </c>
      <c r="I53" s="64">
        <f>CEILING(J53*(1+Наценки!$H$13), 50)</f>
        <v>1750</v>
      </c>
      <c r="J53" s="388">
        <f t="shared" si="7"/>
        <v>1800</v>
      </c>
      <c r="K53" s="64">
        <f>CEILING(J53*(1+Наценки!$J$13), 50)</f>
        <v>1900</v>
      </c>
      <c r="L53" s="61"/>
      <c r="M53" s="61"/>
      <c r="N53" s="61"/>
      <c r="O53" s="61"/>
      <c r="P53" s="61"/>
    </row>
  </sheetData>
  <sheetProtection selectLockedCells="1" selectUnlockedCells="1"/>
  <mergeCells count="41">
    <mergeCell ref="I34:K34"/>
    <mergeCell ref="F34:G34"/>
    <mergeCell ref="M7:P7"/>
    <mergeCell ref="M8:M9"/>
    <mergeCell ref="N8:P8"/>
    <mergeCell ref="M34:M35"/>
    <mergeCell ref="N34:P34"/>
    <mergeCell ref="H34:H35"/>
    <mergeCell ref="C41:C45"/>
    <mergeCell ref="D41:D45"/>
    <mergeCell ref="C34:C35"/>
    <mergeCell ref="D34:D35"/>
    <mergeCell ref="E34:E35"/>
    <mergeCell ref="E4:K4"/>
    <mergeCell ref="D5:K5"/>
    <mergeCell ref="E6:K6"/>
    <mergeCell ref="C10:C14"/>
    <mergeCell ref="D10:D14"/>
    <mergeCell ref="F8:G8"/>
    <mergeCell ref="H7:K7"/>
    <mergeCell ref="I8:K8"/>
    <mergeCell ref="C8:C9"/>
    <mergeCell ref="D8:D9"/>
    <mergeCell ref="E8:E9"/>
    <mergeCell ref="H8:H9"/>
    <mergeCell ref="C15:C19"/>
    <mergeCell ref="D15:D19"/>
    <mergeCell ref="C50:D51"/>
    <mergeCell ref="C52:D53"/>
    <mergeCell ref="C20:C24"/>
    <mergeCell ref="C36:C40"/>
    <mergeCell ref="D36:D40"/>
    <mergeCell ref="D20:D24"/>
    <mergeCell ref="C25:C29"/>
    <mergeCell ref="D25:D29"/>
    <mergeCell ref="C47:K47"/>
    <mergeCell ref="C48:E48"/>
    <mergeCell ref="F48:G48"/>
    <mergeCell ref="H48:H49"/>
    <mergeCell ref="I48:K48"/>
    <mergeCell ref="C49:D49"/>
  </mergeCells>
  <hyperlinks>
    <hyperlink ref="C6" location="Содержание!A1" display="Содержание"/>
  </hyperlinks>
  <pageMargins left="0.19685039370078741" right="0.19685039370078741" top="0.19685039370078741" bottom="0.19685039370078741" header="0.51181102362204722" footer="0.51181102362204722"/>
  <pageSetup paperSize="9" firstPageNumber="0" orientation="portrait" verticalDpi="300" r:id="rId1"/>
  <headerFooter alignWithMargins="0"/>
  <rowBreaks count="1" manualBreakCount="1">
    <brk id="32" min="2" max="16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C2:P52"/>
  <sheetViews>
    <sheetView view="pageBreakPreview" topLeftCell="A4" zoomScale="90" zoomScaleSheetLayoutView="90" workbookViewId="0">
      <selection activeCell="P6" sqref="P6"/>
    </sheetView>
  </sheetViews>
  <sheetFormatPr defaultColWidth="12.42578125" defaultRowHeight="11.25" outlineLevelCol="1"/>
  <cols>
    <col min="1" max="2" width="2.42578125" style="17" customWidth="1"/>
    <col min="3" max="3" width="15.140625" style="17" customWidth="1"/>
    <col min="4" max="4" width="13.42578125" style="17" customWidth="1"/>
    <col min="5" max="5" width="12.42578125" style="17" customWidth="1"/>
    <col min="6" max="7" width="7.7109375" style="17" hidden="1" customWidth="1"/>
    <col min="8" max="9" width="13.7109375" style="17" hidden="1" customWidth="1" outlineLevel="1"/>
    <col min="10" max="10" width="12.42578125" style="66" customWidth="1" collapsed="1"/>
    <col min="11" max="11" width="13.7109375" style="17" customWidth="1"/>
    <col min="12" max="12" width="2.140625" style="17" customWidth="1"/>
    <col min="13" max="14" width="12.85546875" style="17" hidden="1" customWidth="1" outlineLevel="1"/>
    <col min="15" max="15" width="12.85546875" style="66" bestFit="1" customWidth="1" collapsed="1"/>
    <col min="16" max="16" width="12.85546875" style="17" bestFit="1" customWidth="1"/>
    <col min="17" max="16384" width="12.42578125" style="17"/>
  </cols>
  <sheetData>
    <row r="2" spans="3:16">
      <c r="D2" s="30"/>
      <c r="E2" s="31"/>
      <c r="F2" s="31"/>
      <c r="G2" s="31"/>
      <c r="H2" s="30"/>
      <c r="I2" s="30"/>
      <c r="J2" s="60"/>
      <c r="K2" s="30"/>
      <c r="M2" s="30"/>
      <c r="N2" s="30"/>
      <c r="O2" s="60"/>
      <c r="P2" s="30"/>
    </row>
    <row r="3" spans="3:16" ht="12">
      <c r="D3" s="30"/>
      <c r="E3" s="33"/>
      <c r="F3" s="33"/>
      <c r="G3" s="33"/>
      <c r="H3" s="34"/>
      <c r="I3" s="34"/>
      <c r="J3" s="34"/>
      <c r="K3" s="34"/>
      <c r="M3" s="310"/>
      <c r="N3" s="310"/>
      <c r="O3" s="310"/>
      <c r="P3" s="310"/>
    </row>
    <row r="4" spans="3:16" ht="12.75" customHeight="1">
      <c r="D4" s="30"/>
      <c r="E4" s="555"/>
      <c r="F4" s="555"/>
      <c r="G4" s="555"/>
      <c r="H4" s="555"/>
      <c r="I4" s="555"/>
      <c r="J4" s="555"/>
      <c r="K4" s="555"/>
      <c r="O4" s="17"/>
    </row>
    <row r="5" spans="3:16" ht="12.75" customHeight="1">
      <c r="D5" s="556"/>
      <c r="E5" s="556"/>
      <c r="F5" s="556"/>
      <c r="G5" s="556"/>
      <c r="H5" s="556"/>
      <c r="I5" s="556"/>
      <c r="J5" s="556"/>
      <c r="K5" s="556"/>
      <c r="O5" s="17"/>
    </row>
    <row r="6" spans="3:16" ht="20.25">
      <c r="C6" s="7" t="s">
        <v>0</v>
      </c>
      <c r="E6" s="521"/>
      <c r="F6" s="521"/>
      <c r="G6" s="521"/>
      <c r="H6" s="521"/>
      <c r="I6" s="521"/>
      <c r="J6" s="521"/>
      <c r="K6" s="521"/>
      <c r="O6" s="17"/>
      <c r="P6" s="485">
        <f>Содержание!D1</f>
        <v>44697</v>
      </c>
    </row>
    <row r="7" spans="3:16" ht="32.25" customHeight="1">
      <c r="C7" s="7"/>
      <c r="E7" s="311"/>
      <c r="F7" s="311"/>
      <c r="G7" s="311"/>
      <c r="H7" s="624" t="s">
        <v>296</v>
      </c>
      <c r="I7" s="624"/>
      <c r="J7" s="624"/>
      <c r="K7" s="624"/>
      <c r="M7" s="624" t="s">
        <v>297</v>
      </c>
      <c r="N7" s="624"/>
      <c r="O7" s="624"/>
      <c r="P7" s="624"/>
    </row>
    <row r="8" spans="3:16" s="37" customFormat="1" ht="20.100000000000001" customHeight="1">
      <c r="C8" s="546" t="s">
        <v>1</v>
      </c>
      <c r="D8" s="546" t="s">
        <v>2</v>
      </c>
      <c r="E8" s="546" t="s">
        <v>3</v>
      </c>
      <c r="F8" s="569"/>
      <c r="G8" s="569" t="s">
        <v>262</v>
      </c>
      <c r="H8" s="553" t="s">
        <v>186</v>
      </c>
      <c r="I8" s="554" t="s">
        <v>187</v>
      </c>
      <c r="J8" s="554"/>
      <c r="K8" s="554"/>
      <c r="L8" s="77"/>
      <c r="M8" s="557" t="s">
        <v>186</v>
      </c>
      <c r="N8" s="558" t="s">
        <v>187</v>
      </c>
      <c r="O8" s="558"/>
      <c r="P8" s="558"/>
    </row>
    <row r="9" spans="3:16" s="37" customFormat="1" ht="20.100000000000001" customHeight="1">
      <c r="C9" s="546"/>
      <c r="D9" s="546"/>
      <c r="E9" s="546"/>
      <c r="F9" s="313" t="s">
        <v>209</v>
      </c>
      <c r="G9" s="313" t="s">
        <v>294</v>
      </c>
      <c r="H9" s="553"/>
      <c r="I9" s="176" t="s">
        <v>189</v>
      </c>
      <c r="J9" s="177" t="s">
        <v>190</v>
      </c>
      <c r="K9" s="176" t="s">
        <v>191</v>
      </c>
      <c r="L9" s="77"/>
      <c r="M9" s="557"/>
      <c r="N9" s="316" t="s">
        <v>189</v>
      </c>
      <c r="O9" s="317" t="s">
        <v>190</v>
      </c>
      <c r="P9" s="316" t="s">
        <v>191</v>
      </c>
    </row>
    <row r="10" spans="3:16" ht="26.45" customHeight="1">
      <c r="C10" s="610" t="s">
        <v>268</v>
      </c>
      <c r="D10" s="612" t="s">
        <v>106</v>
      </c>
      <c r="E10" s="391" t="s">
        <v>6</v>
      </c>
      <c r="F10" s="361">
        <f>'Серия F'!F36</f>
        <v>16700</v>
      </c>
      <c r="G10" s="361">
        <f>CEILING(F10*(1-39%), 10)</f>
        <v>10190</v>
      </c>
      <c r="H10" s="364">
        <f>FLOOR(J10*Наценки!$G$13, 50)</f>
        <v>16700</v>
      </c>
      <c r="I10" s="370">
        <f>CEILING(J10*(1+Наценки!$H$13), 50)</f>
        <v>9700</v>
      </c>
      <c r="J10" s="84">
        <f>G10</f>
        <v>10190</v>
      </c>
      <c r="K10" s="85">
        <f>CEILING(J10*(1+Наценки!$J$13), 50)</f>
        <v>10700</v>
      </c>
      <c r="M10" s="364">
        <f>FLOOR(O10*Наценки!$G$13, 50)</f>
        <v>15050</v>
      </c>
      <c r="N10" s="365">
        <f>CEILING(O10*(1+Наценки!$H$13), 50)</f>
        <v>8750</v>
      </c>
      <c r="O10" s="366">
        <f>CEILING(J10*0.9, 10)</f>
        <v>9180</v>
      </c>
      <c r="P10" s="365">
        <f>CEILING(O10*(1+Наценки!$J$13), 50)</f>
        <v>9650</v>
      </c>
    </row>
    <row r="11" spans="3:16" ht="26.45" customHeight="1">
      <c r="C11" s="610"/>
      <c r="D11" s="612"/>
      <c r="E11" s="392" t="s">
        <v>7</v>
      </c>
      <c r="F11" s="361">
        <f>CEILING($F$10*(1+Наценки!F3), 100)</f>
        <v>17600</v>
      </c>
      <c r="G11" s="361">
        <f t="shared" ref="G11:G29" si="0">CEILING(F11*(1-39%), 10)</f>
        <v>10740</v>
      </c>
      <c r="H11" s="396">
        <f>FLOOR(J11*Наценки!$G$13, 50)</f>
        <v>17600</v>
      </c>
      <c r="I11" s="371">
        <f>CEILING(J11*(1+Наценки!$H$13), 50)</f>
        <v>10250</v>
      </c>
      <c r="J11" s="43">
        <f t="shared" ref="J11:J29" si="1">G11</f>
        <v>10740</v>
      </c>
      <c r="K11" s="58">
        <f>CEILING(J11*(1+Наценки!$J$13), 50)</f>
        <v>11300</v>
      </c>
      <c r="M11" s="362">
        <f>FLOOR(O11*Наценки!$G$13, 50)</f>
        <v>15850</v>
      </c>
      <c r="N11" s="367">
        <f>CEILING(O11*(1+Наценки!$H$13), 50)</f>
        <v>9200</v>
      </c>
      <c r="O11" s="368">
        <f t="shared" ref="O11:O29" si="2">CEILING(J11*0.9, 10)</f>
        <v>9670</v>
      </c>
      <c r="P11" s="367">
        <f>CEILING(O11*(1+Наценки!$J$13), 50)</f>
        <v>10200</v>
      </c>
    </row>
    <row r="12" spans="3:16" ht="26.45" customHeight="1">
      <c r="C12" s="610"/>
      <c r="D12" s="612"/>
      <c r="E12" s="391" t="s">
        <v>8</v>
      </c>
      <c r="F12" s="361">
        <f>CEILING($F$10*(1+Наценки!F4), 100)</f>
        <v>18400</v>
      </c>
      <c r="G12" s="361">
        <f t="shared" si="0"/>
        <v>11230</v>
      </c>
      <c r="H12" s="364">
        <f>FLOOR(J12*Наценки!$G$13, 50)</f>
        <v>18400</v>
      </c>
      <c r="I12" s="372">
        <f>CEILING(J12*(1+Наценки!$H$13), 50)</f>
        <v>10700</v>
      </c>
      <c r="J12" s="40">
        <f t="shared" si="1"/>
        <v>11230</v>
      </c>
      <c r="K12" s="59">
        <f>CEILING(J12*(1+Наценки!$J$13), 50)</f>
        <v>11800</v>
      </c>
      <c r="M12" s="363">
        <f>FLOOR(O12*Наценки!$G$13, 50)</f>
        <v>16550</v>
      </c>
      <c r="N12" s="365">
        <f>CEILING(O12*(1+Наценки!$H$13), 50)</f>
        <v>9650</v>
      </c>
      <c r="O12" s="366">
        <f t="shared" si="2"/>
        <v>10110</v>
      </c>
      <c r="P12" s="365">
        <f>CEILING(O12*(1+Наценки!$J$13), 50)</f>
        <v>10650</v>
      </c>
    </row>
    <row r="13" spans="3:16" ht="26.45" customHeight="1">
      <c r="C13" s="610"/>
      <c r="D13" s="612"/>
      <c r="E13" s="392" t="s">
        <v>9</v>
      </c>
      <c r="F13" s="361">
        <f>CEILING($F$10*(1+Наценки!F5), 100)</f>
        <v>19300</v>
      </c>
      <c r="G13" s="361">
        <f t="shared" si="0"/>
        <v>11780</v>
      </c>
      <c r="H13" s="396">
        <f>FLOOR(J13*Наценки!$G$13, 50)</f>
        <v>19300</v>
      </c>
      <c r="I13" s="371">
        <f>CEILING(J13*(1+Наценки!$H$13), 50)</f>
        <v>11200</v>
      </c>
      <c r="J13" s="43">
        <f t="shared" si="1"/>
        <v>11780</v>
      </c>
      <c r="K13" s="58">
        <f>CEILING(J13*(1+Наценки!$J$13), 50)</f>
        <v>12400</v>
      </c>
      <c r="M13" s="362">
        <f>FLOOR(O13*Наценки!$G$13, 50)</f>
        <v>17400</v>
      </c>
      <c r="N13" s="367">
        <f>CEILING(O13*(1+Наценки!$H$13), 50)</f>
        <v>10100</v>
      </c>
      <c r="O13" s="368">
        <f t="shared" si="2"/>
        <v>10610</v>
      </c>
      <c r="P13" s="367">
        <f>CEILING(O13*(1+Наценки!$J$13), 50)</f>
        <v>11150</v>
      </c>
    </row>
    <row r="14" spans="3:16" ht="26.45" customHeight="1" thickBot="1">
      <c r="C14" s="576"/>
      <c r="D14" s="613"/>
      <c r="E14" s="393" t="s">
        <v>10</v>
      </c>
      <c r="F14" s="380">
        <f>CEILING($F$10*(1+Наценки!F6), 100)</f>
        <v>20100</v>
      </c>
      <c r="G14" s="380">
        <f t="shared" si="0"/>
        <v>12270</v>
      </c>
      <c r="H14" s="397">
        <f>FLOOR(J14*Наценки!$G$13, 50)</f>
        <v>20100</v>
      </c>
      <c r="I14" s="373">
        <f>CEILING(J14*(1+Наценки!$H$13), 50)</f>
        <v>11700</v>
      </c>
      <c r="J14" s="89">
        <f t="shared" si="1"/>
        <v>12270</v>
      </c>
      <c r="K14" s="90">
        <f>CEILING(J14*(1+Наценки!$J$13), 50)</f>
        <v>12900</v>
      </c>
      <c r="M14" s="384">
        <f>FLOOR(O14*Наценки!$G$13, 50)</f>
        <v>18100</v>
      </c>
      <c r="N14" s="385">
        <f>CEILING(O14*(1+Наценки!$H$13), 50)</f>
        <v>10500</v>
      </c>
      <c r="O14" s="386">
        <f t="shared" si="2"/>
        <v>11050</v>
      </c>
      <c r="P14" s="385">
        <f>CEILING(O14*(1+Наценки!$J$13), 50)</f>
        <v>11650</v>
      </c>
    </row>
    <row r="15" spans="3:16" ht="26.45" customHeight="1">
      <c r="C15" s="594" t="s">
        <v>269</v>
      </c>
      <c r="D15" s="611" t="s">
        <v>107</v>
      </c>
      <c r="E15" s="394" t="s">
        <v>6</v>
      </c>
      <c r="F15" s="379">
        <f>F10</f>
        <v>16700</v>
      </c>
      <c r="G15" s="379">
        <f t="shared" si="0"/>
        <v>10190</v>
      </c>
      <c r="H15" s="364">
        <f>FLOOR(J15*Наценки!$G$13, 50)</f>
        <v>16700</v>
      </c>
      <c r="I15" s="370">
        <f>CEILING(J15*(1+Наценки!$H$13), 50)</f>
        <v>9700</v>
      </c>
      <c r="J15" s="84">
        <f t="shared" si="1"/>
        <v>10190</v>
      </c>
      <c r="K15" s="85">
        <f>CEILING(J15*(1+Наценки!$J$13), 50)</f>
        <v>10700</v>
      </c>
      <c r="M15" s="381">
        <f>FLOOR(O15*Наценки!$G$13, 50)</f>
        <v>15050</v>
      </c>
      <c r="N15" s="382">
        <f>CEILING(O15*(1+Наценки!$H$13), 50)</f>
        <v>8750</v>
      </c>
      <c r="O15" s="383">
        <f t="shared" si="2"/>
        <v>9180</v>
      </c>
      <c r="P15" s="382">
        <f>CEILING(O15*(1+Наценки!$J$13), 50)</f>
        <v>9650</v>
      </c>
    </row>
    <row r="16" spans="3:16" ht="26.45" customHeight="1">
      <c r="C16" s="610"/>
      <c r="D16" s="612"/>
      <c r="E16" s="392" t="s">
        <v>7</v>
      </c>
      <c r="F16" s="361">
        <f>CEILING($F$15*(1+Наценки!F3), 100)</f>
        <v>17600</v>
      </c>
      <c r="G16" s="361">
        <f t="shared" si="0"/>
        <v>10740</v>
      </c>
      <c r="H16" s="396">
        <f>FLOOR(J16*Наценки!$G$13, 50)</f>
        <v>17600</v>
      </c>
      <c r="I16" s="371">
        <f>CEILING(J16*(1+Наценки!$H$13), 50)</f>
        <v>10250</v>
      </c>
      <c r="J16" s="43">
        <f t="shared" si="1"/>
        <v>10740</v>
      </c>
      <c r="K16" s="58">
        <f>CEILING(J16*(1+Наценки!$J$13), 50)</f>
        <v>11300</v>
      </c>
      <c r="M16" s="362">
        <f>FLOOR(O16*Наценки!$G$13, 50)</f>
        <v>15850</v>
      </c>
      <c r="N16" s="367">
        <f>CEILING(O16*(1+Наценки!$H$13), 50)</f>
        <v>9200</v>
      </c>
      <c r="O16" s="368">
        <f t="shared" si="2"/>
        <v>9670</v>
      </c>
      <c r="P16" s="367">
        <f>CEILING(O16*(1+Наценки!$J$13), 50)</f>
        <v>10200</v>
      </c>
    </row>
    <row r="17" spans="3:16" ht="26.45" customHeight="1">
      <c r="C17" s="610"/>
      <c r="D17" s="612"/>
      <c r="E17" s="391" t="s">
        <v>8</v>
      </c>
      <c r="F17" s="361">
        <f>CEILING($F$15*(1+Наценки!F4), 100)</f>
        <v>18400</v>
      </c>
      <c r="G17" s="361">
        <f t="shared" si="0"/>
        <v>11230</v>
      </c>
      <c r="H17" s="364">
        <f>FLOOR(J17*Наценки!$G$13, 50)</f>
        <v>18400</v>
      </c>
      <c r="I17" s="372">
        <f>CEILING(J17*(1+Наценки!$H$13), 50)</f>
        <v>10700</v>
      </c>
      <c r="J17" s="40">
        <f t="shared" si="1"/>
        <v>11230</v>
      </c>
      <c r="K17" s="59">
        <f>CEILING(J17*(1+Наценки!$J$13), 50)</f>
        <v>11800</v>
      </c>
      <c r="M17" s="363">
        <f>FLOOR(O17*Наценки!$G$13, 50)</f>
        <v>16550</v>
      </c>
      <c r="N17" s="365">
        <f>CEILING(O17*(1+Наценки!$H$13), 50)</f>
        <v>9650</v>
      </c>
      <c r="O17" s="366">
        <f t="shared" si="2"/>
        <v>10110</v>
      </c>
      <c r="P17" s="365">
        <f>CEILING(O17*(1+Наценки!$J$13), 50)</f>
        <v>10650</v>
      </c>
    </row>
    <row r="18" spans="3:16" ht="26.45" customHeight="1">
      <c r="C18" s="610"/>
      <c r="D18" s="612"/>
      <c r="E18" s="392" t="s">
        <v>9</v>
      </c>
      <c r="F18" s="361">
        <f>CEILING($F$15*(1+Наценки!F5), 100)</f>
        <v>19300</v>
      </c>
      <c r="G18" s="361">
        <f t="shared" si="0"/>
        <v>11780</v>
      </c>
      <c r="H18" s="396">
        <f>FLOOR(J18*Наценки!$G$13, 50)</f>
        <v>19300</v>
      </c>
      <c r="I18" s="371">
        <f>CEILING(J18*(1+Наценки!$H$13), 50)</f>
        <v>11200</v>
      </c>
      <c r="J18" s="43">
        <f t="shared" si="1"/>
        <v>11780</v>
      </c>
      <c r="K18" s="58">
        <f>CEILING(J18*(1+Наценки!$J$13), 50)</f>
        <v>12400</v>
      </c>
      <c r="M18" s="362">
        <f>FLOOR(O18*Наценки!$G$13, 50)</f>
        <v>17400</v>
      </c>
      <c r="N18" s="367">
        <f>CEILING(O18*(1+Наценки!$H$13), 50)</f>
        <v>10100</v>
      </c>
      <c r="O18" s="368">
        <f t="shared" si="2"/>
        <v>10610</v>
      </c>
      <c r="P18" s="367">
        <f>CEILING(O18*(1+Наценки!$J$13), 50)</f>
        <v>11150</v>
      </c>
    </row>
    <row r="19" spans="3:16" ht="26.45" customHeight="1" thickBot="1">
      <c r="C19" s="576"/>
      <c r="D19" s="613"/>
      <c r="E19" s="393" t="s">
        <v>10</v>
      </c>
      <c r="F19" s="380">
        <f>CEILING($F$15*(1+Наценки!F6), 100)</f>
        <v>20100</v>
      </c>
      <c r="G19" s="380">
        <f t="shared" si="0"/>
        <v>12270</v>
      </c>
      <c r="H19" s="397">
        <f>FLOOR(J19*Наценки!$G$13, 50)</f>
        <v>20100</v>
      </c>
      <c r="I19" s="373">
        <f>CEILING(J19*(1+Наценки!$H$13), 50)</f>
        <v>11700</v>
      </c>
      <c r="J19" s="89">
        <f t="shared" si="1"/>
        <v>12270</v>
      </c>
      <c r="K19" s="90">
        <f>CEILING(J19*(1+Наценки!$J$13), 50)</f>
        <v>12900</v>
      </c>
      <c r="M19" s="384">
        <f>FLOOR(O19*Наценки!$G$13, 50)</f>
        <v>18100</v>
      </c>
      <c r="N19" s="385">
        <f>CEILING(O19*(1+Наценки!$H$13), 50)</f>
        <v>10500</v>
      </c>
      <c r="O19" s="386">
        <f t="shared" si="2"/>
        <v>11050</v>
      </c>
      <c r="P19" s="385">
        <f>CEILING(O19*(1+Наценки!$J$13), 50)</f>
        <v>11650</v>
      </c>
    </row>
    <row r="20" spans="3:16" ht="26.45" customHeight="1">
      <c r="C20" s="594" t="s">
        <v>270</v>
      </c>
      <c r="D20" s="611" t="s">
        <v>108</v>
      </c>
      <c r="E20" s="394" t="s">
        <v>6</v>
      </c>
      <c r="F20" s="379">
        <f>F10</f>
        <v>16700</v>
      </c>
      <c r="G20" s="379">
        <f t="shared" si="0"/>
        <v>10190</v>
      </c>
      <c r="H20" s="381">
        <f>FLOOR(J20*Наценки!$G$13, 50)</f>
        <v>16700</v>
      </c>
      <c r="I20" s="370">
        <f>CEILING(J20*(1+Наценки!$H$13), 50)</f>
        <v>9700</v>
      </c>
      <c r="J20" s="84">
        <f t="shared" si="1"/>
        <v>10190</v>
      </c>
      <c r="K20" s="85">
        <f>CEILING(J20*(1+Наценки!$J$13), 50)</f>
        <v>10700</v>
      </c>
      <c r="M20" s="381">
        <f>FLOOR(O20*Наценки!$G$13, 50)</f>
        <v>15050</v>
      </c>
      <c r="N20" s="382">
        <f>CEILING(O20*(1+Наценки!$H$13), 50)</f>
        <v>8750</v>
      </c>
      <c r="O20" s="383">
        <f t="shared" si="2"/>
        <v>9180</v>
      </c>
      <c r="P20" s="382">
        <f>CEILING(O20*(1+Наценки!$J$13), 50)</f>
        <v>9650</v>
      </c>
    </row>
    <row r="21" spans="3:16" ht="26.45" customHeight="1">
      <c r="C21" s="610"/>
      <c r="D21" s="612"/>
      <c r="E21" s="392" t="s">
        <v>7</v>
      </c>
      <c r="F21" s="361">
        <f>CEILING($F$20*(1+Наценки!F3), 100)</f>
        <v>17600</v>
      </c>
      <c r="G21" s="361">
        <f t="shared" si="0"/>
        <v>10740</v>
      </c>
      <c r="H21" s="396">
        <f>FLOOR(J21*Наценки!$G$13, 50)</f>
        <v>17600</v>
      </c>
      <c r="I21" s="371">
        <f>CEILING(J21*(1+Наценки!$H$13), 50)</f>
        <v>10250</v>
      </c>
      <c r="J21" s="43">
        <f t="shared" si="1"/>
        <v>10740</v>
      </c>
      <c r="K21" s="58">
        <f>CEILING(J21*(1+Наценки!$J$13), 50)</f>
        <v>11300</v>
      </c>
      <c r="M21" s="362">
        <f>FLOOR(O21*Наценки!$G$13, 50)</f>
        <v>15850</v>
      </c>
      <c r="N21" s="367">
        <f>CEILING(O21*(1+Наценки!$H$13), 50)</f>
        <v>9200</v>
      </c>
      <c r="O21" s="368">
        <f t="shared" si="2"/>
        <v>9670</v>
      </c>
      <c r="P21" s="367">
        <f>CEILING(O21*(1+Наценки!$J$13), 50)</f>
        <v>10200</v>
      </c>
    </row>
    <row r="22" spans="3:16" ht="26.45" customHeight="1">
      <c r="C22" s="610"/>
      <c r="D22" s="612"/>
      <c r="E22" s="391" t="s">
        <v>8</v>
      </c>
      <c r="F22" s="361">
        <f>CEILING($F$20*(1+Наценки!F4), 100)</f>
        <v>18400</v>
      </c>
      <c r="G22" s="361">
        <f t="shared" si="0"/>
        <v>11230</v>
      </c>
      <c r="H22" s="364">
        <f>FLOOR(J22*Наценки!$G$13, 50)</f>
        <v>18400</v>
      </c>
      <c r="I22" s="372">
        <f>CEILING(J22*(1+Наценки!$H$13), 50)</f>
        <v>10700</v>
      </c>
      <c r="J22" s="40">
        <f t="shared" si="1"/>
        <v>11230</v>
      </c>
      <c r="K22" s="59">
        <f>CEILING(J22*(1+Наценки!$J$13), 50)</f>
        <v>11800</v>
      </c>
      <c r="M22" s="363">
        <f>FLOOR(O22*Наценки!$G$13, 50)</f>
        <v>16550</v>
      </c>
      <c r="N22" s="365">
        <f>CEILING(O22*(1+Наценки!$H$13), 50)</f>
        <v>9650</v>
      </c>
      <c r="O22" s="366">
        <f t="shared" si="2"/>
        <v>10110</v>
      </c>
      <c r="P22" s="365">
        <f>CEILING(O22*(1+Наценки!$J$13), 50)</f>
        <v>10650</v>
      </c>
    </row>
    <row r="23" spans="3:16" ht="26.45" customHeight="1">
      <c r="C23" s="610"/>
      <c r="D23" s="612"/>
      <c r="E23" s="392" t="s">
        <v>9</v>
      </c>
      <c r="F23" s="361">
        <f>CEILING($F$20*(1+Наценки!F5), 100)</f>
        <v>19300</v>
      </c>
      <c r="G23" s="361">
        <f t="shared" si="0"/>
        <v>11780</v>
      </c>
      <c r="H23" s="396">
        <f>FLOOR(J23*Наценки!$G$13, 50)</f>
        <v>19300</v>
      </c>
      <c r="I23" s="371">
        <f>CEILING(J23*(1+Наценки!$H$13), 50)</f>
        <v>11200</v>
      </c>
      <c r="J23" s="43">
        <f t="shared" si="1"/>
        <v>11780</v>
      </c>
      <c r="K23" s="58">
        <f>CEILING(J23*(1+Наценки!$J$13), 50)</f>
        <v>12400</v>
      </c>
      <c r="M23" s="362">
        <f>FLOOR(O23*Наценки!$G$13, 50)</f>
        <v>17400</v>
      </c>
      <c r="N23" s="367">
        <f>CEILING(O23*(1+Наценки!$H$13), 50)</f>
        <v>10100</v>
      </c>
      <c r="O23" s="368">
        <f t="shared" si="2"/>
        <v>10610</v>
      </c>
      <c r="P23" s="367">
        <f>CEILING(O23*(1+Наценки!$J$13), 50)</f>
        <v>11150</v>
      </c>
    </row>
    <row r="24" spans="3:16" ht="26.45" customHeight="1" thickBot="1">
      <c r="C24" s="576"/>
      <c r="D24" s="613"/>
      <c r="E24" s="393" t="s">
        <v>10</v>
      </c>
      <c r="F24" s="380">
        <f>CEILING($F$20*(1+Наценки!F6), 100)</f>
        <v>20100</v>
      </c>
      <c r="G24" s="380">
        <f t="shared" si="0"/>
        <v>12270</v>
      </c>
      <c r="H24" s="397">
        <f>FLOOR(J24*Наценки!$G$13, 50)</f>
        <v>20100</v>
      </c>
      <c r="I24" s="373">
        <f>CEILING(J24*(1+Наценки!$H$13), 50)</f>
        <v>11700</v>
      </c>
      <c r="J24" s="89">
        <f t="shared" si="1"/>
        <v>12270</v>
      </c>
      <c r="K24" s="90">
        <f>CEILING(J24*(1+Наценки!$J$13), 50)</f>
        <v>12900</v>
      </c>
      <c r="M24" s="384">
        <f>FLOOR(O24*Наценки!$G$13, 50)</f>
        <v>18100</v>
      </c>
      <c r="N24" s="385">
        <f>CEILING(O24*(1+Наценки!$H$13), 50)</f>
        <v>10500</v>
      </c>
      <c r="O24" s="386">
        <f t="shared" si="2"/>
        <v>11050</v>
      </c>
      <c r="P24" s="385">
        <f>CEILING(O24*(1+Наценки!$J$13), 50)</f>
        <v>11650</v>
      </c>
    </row>
    <row r="25" spans="3:16" ht="26.45" customHeight="1">
      <c r="C25" s="594" t="s">
        <v>271</v>
      </c>
      <c r="D25" s="611" t="s">
        <v>109</v>
      </c>
      <c r="E25" s="394" t="s">
        <v>6</v>
      </c>
      <c r="F25" s="379">
        <f>F10</f>
        <v>16700</v>
      </c>
      <c r="G25" s="379">
        <f t="shared" si="0"/>
        <v>10190</v>
      </c>
      <c r="H25" s="381">
        <f>FLOOR(J25*Наценки!$G$13, 50)</f>
        <v>16700</v>
      </c>
      <c r="I25" s="370">
        <f>CEILING(J25*(1+Наценки!$H$13), 50)</f>
        <v>9700</v>
      </c>
      <c r="J25" s="84">
        <f t="shared" si="1"/>
        <v>10190</v>
      </c>
      <c r="K25" s="85">
        <f>CEILING(J25*(1+Наценки!$J$13), 50)</f>
        <v>10700</v>
      </c>
      <c r="M25" s="381">
        <f>FLOOR(O25*Наценки!$G$13, 50)</f>
        <v>15050</v>
      </c>
      <c r="N25" s="382">
        <f>CEILING(O25*(1+Наценки!$H$13), 50)</f>
        <v>8750</v>
      </c>
      <c r="O25" s="383">
        <f t="shared" si="2"/>
        <v>9180</v>
      </c>
      <c r="P25" s="382">
        <f>CEILING(O25*(1+Наценки!$J$13), 50)</f>
        <v>9650</v>
      </c>
    </row>
    <row r="26" spans="3:16" ht="26.45" customHeight="1">
      <c r="C26" s="610"/>
      <c r="D26" s="612"/>
      <c r="E26" s="392" t="s">
        <v>7</v>
      </c>
      <c r="F26" s="361">
        <f>CEILING($F$25*(1+Наценки!F3), 100)</f>
        <v>17600</v>
      </c>
      <c r="G26" s="361">
        <f t="shared" si="0"/>
        <v>10740</v>
      </c>
      <c r="H26" s="396">
        <f>FLOOR(J26*Наценки!$G$13, 50)</f>
        <v>17600</v>
      </c>
      <c r="I26" s="371">
        <f>CEILING(J26*(1+Наценки!$H$13), 50)</f>
        <v>10250</v>
      </c>
      <c r="J26" s="43">
        <f t="shared" si="1"/>
        <v>10740</v>
      </c>
      <c r="K26" s="58">
        <f>CEILING(J26*(1+Наценки!$J$13), 50)</f>
        <v>11300</v>
      </c>
      <c r="M26" s="362">
        <f>FLOOR(O26*Наценки!$G$13, 50)</f>
        <v>15850</v>
      </c>
      <c r="N26" s="367">
        <f>CEILING(O26*(1+Наценки!$H$13), 50)</f>
        <v>9200</v>
      </c>
      <c r="O26" s="368">
        <f t="shared" si="2"/>
        <v>9670</v>
      </c>
      <c r="P26" s="367">
        <f>CEILING(O26*(1+Наценки!$J$13), 50)</f>
        <v>10200</v>
      </c>
    </row>
    <row r="27" spans="3:16" ht="26.45" customHeight="1">
      <c r="C27" s="610"/>
      <c r="D27" s="612"/>
      <c r="E27" s="391" t="s">
        <v>8</v>
      </c>
      <c r="F27" s="361">
        <f>CEILING($F$25*(1+Наценки!F4), 100)</f>
        <v>18400</v>
      </c>
      <c r="G27" s="361">
        <f t="shared" si="0"/>
        <v>11230</v>
      </c>
      <c r="H27" s="364">
        <f>FLOOR(J27*Наценки!$G$13, 50)</f>
        <v>18400</v>
      </c>
      <c r="I27" s="372">
        <f>CEILING(J27*(1+Наценки!$H$13), 50)</f>
        <v>10700</v>
      </c>
      <c r="J27" s="40">
        <f t="shared" si="1"/>
        <v>11230</v>
      </c>
      <c r="K27" s="59">
        <f>CEILING(J27*(1+Наценки!$J$13), 50)</f>
        <v>11800</v>
      </c>
      <c r="M27" s="363">
        <f>FLOOR(O27*Наценки!$G$13, 50)</f>
        <v>16550</v>
      </c>
      <c r="N27" s="365">
        <f>CEILING(O27*(1+Наценки!$H$13), 50)</f>
        <v>9650</v>
      </c>
      <c r="O27" s="366">
        <f t="shared" si="2"/>
        <v>10110</v>
      </c>
      <c r="P27" s="365">
        <f>CEILING(O27*(1+Наценки!$J$13), 50)</f>
        <v>10650</v>
      </c>
    </row>
    <row r="28" spans="3:16" ht="26.45" customHeight="1">
      <c r="C28" s="610"/>
      <c r="D28" s="612"/>
      <c r="E28" s="392" t="s">
        <v>9</v>
      </c>
      <c r="F28" s="361">
        <f>CEILING($F$25*(1+Наценки!F5), 100)</f>
        <v>19300</v>
      </c>
      <c r="G28" s="361">
        <f t="shared" si="0"/>
        <v>11780</v>
      </c>
      <c r="H28" s="396">
        <f>FLOOR(J28*Наценки!$G$13, 50)</f>
        <v>19300</v>
      </c>
      <c r="I28" s="371">
        <f>CEILING(J28*(1+Наценки!$H$13), 50)</f>
        <v>11200</v>
      </c>
      <c r="J28" s="43">
        <f t="shared" si="1"/>
        <v>11780</v>
      </c>
      <c r="K28" s="58">
        <f>CEILING(J28*(1+Наценки!$J$13), 50)</f>
        <v>12400</v>
      </c>
      <c r="M28" s="362">
        <f>FLOOR(O28*Наценки!$G$13, 50)</f>
        <v>17400</v>
      </c>
      <c r="N28" s="367">
        <f>CEILING(O28*(1+Наценки!$H$13), 50)</f>
        <v>10100</v>
      </c>
      <c r="O28" s="368">
        <f t="shared" si="2"/>
        <v>10610</v>
      </c>
      <c r="P28" s="367">
        <f>CEILING(O28*(1+Наценки!$J$13), 50)</f>
        <v>11150</v>
      </c>
    </row>
    <row r="29" spans="3:16" ht="26.45" customHeight="1" thickBot="1">
      <c r="C29" s="576"/>
      <c r="D29" s="613"/>
      <c r="E29" s="393" t="s">
        <v>10</v>
      </c>
      <c r="F29" s="380">
        <f>CEILING($F$25*(1+Наценки!F6), 100)</f>
        <v>20100</v>
      </c>
      <c r="G29" s="380">
        <f t="shared" si="0"/>
        <v>12270</v>
      </c>
      <c r="H29" s="397">
        <f>FLOOR(J29*Наценки!$G$13, 50)</f>
        <v>20100</v>
      </c>
      <c r="I29" s="373">
        <f>CEILING(J29*(1+Наценки!$H$13), 50)</f>
        <v>11700</v>
      </c>
      <c r="J29" s="89">
        <f t="shared" si="1"/>
        <v>12270</v>
      </c>
      <c r="K29" s="90">
        <f>CEILING(J29*(1+Наценки!$J$13), 50)</f>
        <v>12900</v>
      </c>
      <c r="M29" s="384">
        <f>FLOOR(O29*Наценки!$G$13, 50)</f>
        <v>18100</v>
      </c>
      <c r="N29" s="385">
        <f>CEILING(O29*(1+Наценки!$H$13), 50)</f>
        <v>10500</v>
      </c>
      <c r="O29" s="386">
        <f t="shared" si="2"/>
        <v>11050</v>
      </c>
      <c r="P29" s="385">
        <f>CEILING(O29*(1+Наценки!$J$13), 50)</f>
        <v>11650</v>
      </c>
    </row>
    <row r="30" spans="3:16" s="47" customFormat="1" ht="26.45" customHeight="1">
      <c r="M30" s="51"/>
      <c r="N30" s="51"/>
      <c r="O30" s="51"/>
      <c r="P30" s="51"/>
    </row>
    <row r="31" spans="3:16" ht="15" customHeight="1">
      <c r="C31" s="601" t="s">
        <v>99</v>
      </c>
      <c r="D31" s="601"/>
      <c r="E31" s="601"/>
      <c r="F31" s="601"/>
      <c r="G31" s="601"/>
      <c r="H31" s="601"/>
      <c r="I31" s="601"/>
      <c r="J31" s="601"/>
      <c r="K31" s="601"/>
      <c r="L31" s="61"/>
      <c r="M31" s="399"/>
      <c r="N31" s="399"/>
      <c r="O31" s="399"/>
      <c r="P31" s="399"/>
    </row>
    <row r="32" spans="3:16" ht="15" customHeight="1">
      <c r="C32" s="559" t="s">
        <v>1</v>
      </c>
      <c r="D32" s="559"/>
      <c r="E32" s="559"/>
      <c r="F32" s="569" t="s">
        <v>261</v>
      </c>
      <c r="G32" s="569" t="s">
        <v>262</v>
      </c>
      <c r="H32" s="553" t="s">
        <v>186</v>
      </c>
      <c r="I32" s="554" t="s">
        <v>187</v>
      </c>
      <c r="J32" s="554"/>
      <c r="K32" s="554"/>
      <c r="L32" s="61"/>
      <c r="M32" s="399"/>
      <c r="N32" s="399"/>
      <c r="O32" s="399"/>
      <c r="P32" s="399"/>
    </row>
    <row r="33" spans="3:16" ht="25.9" customHeight="1">
      <c r="C33" s="559"/>
      <c r="D33" s="559"/>
      <c r="E33" s="559"/>
      <c r="F33" s="313" t="s">
        <v>209</v>
      </c>
      <c r="G33" s="313" t="s">
        <v>294</v>
      </c>
      <c r="H33" s="553"/>
      <c r="I33" s="176" t="s">
        <v>189</v>
      </c>
      <c r="J33" s="177" t="s">
        <v>190</v>
      </c>
      <c r="K33" s="176" t="s">
        <v>191</v>
      </c>
      <c r="L33" s="61"/>
      <c r="M33" s="399"/>
      <c r="N33" s="399"/>
      <c r="O33" s="399"/>
      <c r="P33" s="399"/>
    </row>
    <row r="34" spans="3:16" ht="12.75" customHeight="1">
      <c r="C34" s="623" t="s">
        <v>100</v>
      </c>
      <c r="D34" s="623"/>
      <c r="E34" s="400" t="s">
        <v>101</v>
      </c>
      <c r="F34" s="361" t="s">
        <v>102</v>
      </c>
      <c r="G34" s="361" t="s">
        <v>102</v>
      </c>
      <c r="H34" s="62" t="s">
        <v>102</v>
      </c>
      <c r="I34" s="62" t="s">
        <v>102</v>
      </c>
      <c r="J34" s="62" t="s">
        <v>102</v>
      </c>
      <c r="K34" s="62" t="s">
        <v>102</v>
      </c>
      <c r="M34" s="399"/>
      <c r="N34" s="399"/>
      <c r="O34" s="399"/>
      <c r="P34" s="399"/>
    </row>
    <row r="35" spans="3:16" ht="15" customHeight="1">
      <c r="C35" s="614"/>
      <c r="D35" s="614"/>
      <c r="E35" s="38" t="s">
        <v>103</v>
      </c>
      <c r="F35" s="361">
        <f>'Серия F'!F51</f>
        <v>1650</v>
      </c>
      <c r="G35" s="361">
        <f t="shared" ref="G35:G37" si="3">CEILING(F35*(1-39%), 10)</f>
        <v>1010</v>
      </c>
      <c r="H35" s="381">
        <f>FLOOR(J35*Наценки!$G$13, 50)</f>
        <v>1650</v>
      </c>
      <c r="I35" s="64">
        <f>CEILING(J35*(1+Наценки!$H$13), 50)</f>
        <v>1000</v>
      </c>
      <c r="J35" s="64">
        <f>G35</f>
        <v>1010</v>
      </c>
      <c r="K35" s="64">
        <f>CEILING(J35*(1+Наценки!$J$13), 50)</f>
        <v>1100</v>
      </c>
      <c r="L35" s="61"/>
      <c r="M35" s="399"/>
      <c r="N35" s="399"/>
      <c r="O35" s="399"/>
      <c r="P35" s="399"/>
    </row>
    <row r="36" spans="3:16" ht="12.75" customHeight="1">
      <c r="C36" s="614" t="s">
        <v>104</v>
      </c>
      <c r="D36" s="614"/>
      <c r="E36" s="41" t="s">
        <v>101</v>
      </c>
      <c r="F36" s="361">
        <f>'Серия F'!F52</f>
        <v>1300</v>
      </c>
      <c r="G36" s="361">
        <f t="shared" si="3"/>
        <v>800</v>
      </c>
      <c r="H36" s="396">
        <f>FLOOR(J36*Наценки!$G$13, 50)</f>
        <v>1300</v>
      </c>
      <c r="I36" s="171">
        <f>CEILING(J36*(1+Наценки!$H$13), 50)</f>
        <v>800</v>
      </c>
      <c r="J36" s="398">
        <f t="shared" ref="J36:J37" si="4">G36</f>
        <v>800</v>
      </c>
      <c r="K36" s="171">
        <f>CEILING(J36*(1+Наценки!$J$13), 50)</f>
        <v>850</v>
      </c>
      <c r="M36" s="399"/>
      <c r="N36" s="399"/>
      <c r="O36" s="399"/>
      <c r="P36" s="399"/>
    </row>
    <row r="37" spans="3:16" ht="15" customHeight="1">
      <c r="C37" s="614"/>
      <c r="D37" s="614"/>
      <c r="E37" s="38" t="s">
        <v>103</v>
      </c>
      <c r="F37" s="361">
        <f>'Серия F'!F53</f>
        <v>2950</v>
      </c>
      <c r="G37" s="361">
        <f t="shared" si="3"/>
        <v>1800</v>
      </c>
      <c r="H37" s="364">
        <f>FLOOR(J37*Наценки!$G$13, 50)</f>
        <v>2950</v>
      </c>
      <c r="I37" s="64">
        <f>CEILING(J37*(1+Наценки!$H$13), 50)</f>
        <v>1750</v>
      </c>
      <c r="J37" s="64">
        <f t="shared" si="4"/>
        <v>1800</v>
      </c>
      <c r="K37" s="64">
        <f>CEILING(J37*(1+Наценки!$J$13), 50)</f>
        <v>1900</v>
      </c>
      <c r="L37" s="61"/>
      <c r="M37" s="399"/>
      <c r="N37" s="399"/>
      <c r="O37" s="399"/>
      <c r="P37" s="399"/>
    </row>
    <row r="38" spans="3:16" s="47" customFormat="1" ht="12" customHeight="1">
      <c r="C38" s="49" t="s">
        <v>110</v>
      </c>
      <c r="D38" s="50"/>
      <c r="E38" s="50"/>
      <c r="F38" s="50"/>
      <c r="G38" s="50"/>
      <c r="H38" s="51"/>
      <c r="I38" s="51"/>
      <c r="J38" s="51"/>
      <c r="K38" s="51"/>
      <c r="M38" s="399"/>
      <c r="N38" s="399"/>
      <c r="O38" s="399"/>
      <c r="P38" s="399"/>
    </row>
    <row r="39" spans="3:16" s="47" customFormat="1" ht="12" customHeight="1">
      <c r="C39" s="49"/>
      <c r="D39" s="50"/>
      <c r="E39" s="50"/>
      <c r="F39" s="50"/>
      <c r="G39" s="50"/>
      <c r="H39" s="51"/>
      <c r="I39" s="51"/>
      <c r="J39" s="51"/>
      <c r="K39" s="51"/>
      <c r="M39" s="399"/>
      <c r="N39" s="399"/>
      <c r="O39" s="399"/>
      <c r="P39" s="399"/>
    </row>
    <row r="40" spans="3:16" ht="15" customHeight="1">
      <c r="M40" s="399"/>
      <c r="N40" s="399"/>
      <c r="O40" s="399"/>
      <c r="P40" s="399"/>
    </row>
    <row r="41" spans="3:16" ht="15" customHeight="1">
      <c r="M41" s="399"/>
      <c r="N41" s="399"/>
      <c r="O41" s="399"/>
      <c r="P41" s="399"/>
    </row>
    <row r="42" spans="3:16" ht="15" customHeight="1">
      <c r="M42" s="399"/>
      <c r="N42" s="399"/>
      <c r="O42" s="399"/>
      <c r="P42" s="399"/>
    </row>
    <row r="43" spans="3:16" ht="15" customHeight="1">
      <c r="M43" s="399"/>
      <c r="N43" s="399"/>
      <c r="O43" s="399"/>
      <c r="P43" s="399"/>
    </row>
    <row r="44" spans="3:16" ht="15" customHeight="1">
      <c r="M44" s="399"/>
      <c r="N44" s="399"/>
      <c r="O44" s="399"/>
      <c r="P44" s="399"/>
    </row>
    <row r="45" spans="3:16" ht="15" customHeight="1">
      <c r="M45" s="399"/>
      <c r="N45" s="399"/>
      <c r="O45" s="399"/>
      <c r="P45" s="399"/>
    </row>
    <row r="46" spans="3:16" ht="15" customHeight="1">
      <c r="M46" s="399"/>
      <c r="N46" s="399"/>
      <c r="O46" s="399"/>
      <c r="P46" s="399"/>
    </row>
    <row r="47" spans="3:16" ht="15" customHeight="1">
      <c r="M47" s="399"/>
      <c r="N47" s="399"/>
      <c r="O47" s="399"/>
      <c r="P47" s="399"/>
    </row>
    <row r="48" spans="3:16" ht="15" customHeight="1">
      <c r="M48" s="399"/>
      <c r="N48" s="399"/>
      <c r="O48" s="399"/>
      <c r="P48" s="399"/>
    </row>
    <row r="49" spans="13:16" ht="15" customHeight="1">
      <c r="M49" s="399"/>
      <c r="N49" s="399"/>
      <c r="O49" s="399"/>
      <c r="P49" s="399"/>
    </row>
    <row r="50" spans="13:16" ht="15" customHeight="1">
      <c r="M50" s="399"/>
      <c r="N50" s="399"/>
      <c r="O50" s="399"/>
      <c r="P50" s="399"/>
    </row>
    <row r="51" spans="13:16" ht="15" customHeight="1">
      <c r="M51" s="399"/>
      <c r="N51" s="399"/>
      <c r="O51" s="399"/>
      <c r="P51" s="399"/>
    </row>
    <row r="52" spans="13:16">
      <c r="M52" s="61"/>
      <c r="N52" s="61"/>
      <c r="O52" s="61"/>
      <c r="P52" s="61"/>
    </row>
  </sheetData>
  <sheetProtection selectLockedCells="1" selectUnlockedCells="1"/>
  <mergeCells count="27">
    <mergeCell ref="M7:P7"/>
    <mergeCell ref="H7:K7"/>
    <mergeCell ref="H8:H9"/>
    <mergeCell ref="I8:K8"/>
    <mergeCell ref="M8:M9"/>
    <mergeCell ref="N8:P8"/>
    <mergeCell ref="C34:D35"/>
    <mergeCell ref="C36:D37"/>
    <mergeCell ref="E4:K4"/>
    <mergeCell ref="D5:K5"/>
    <mergeCell ref="C10:C14"/>
    <mergeCell ref="D10:D14"/>
    <mergeCell ref="C8:C9"/>
    <mergeCell ref="D8:D9"/>
    <mergeCell ref="E8:E9"/>
    <mergeCell ref="F8:G8"/>
    <mergeCell ref="F32:G32"/>
    <mergeCell ref="H32:H33"/>
    <mergeCell ref="C15:C19"/>
    <mergeCell ref="D15:D19"/>
    <mergeCell ref="C20:C24"/>
    <mergeCell ref="D20:D24"/>
    <mergeCell ref="C25:C29"/>
    <mergeCell ref="D25:D29"/>
    <mergeCell ref="C31:K31"/>
    <mergeCell ref="C32:E33"/>
    <mergeCell ref="I32:K32"/>
  </mergeCells>
  <hyperlinks>
    <hyperlink ref="C6" location="Содержание!A1" display="Содержание"/>
  </hyperlinks>
  <pageMargins left="0.19652777777777777" right="0.19652777777777777" top="0.19652777777777777" bottom="0.19652777777777777" header="0.51180555555555551" footer="0.51180555555555551"/>
  <pageSetup paperSize="9" scale="98" firstPageNumber="0" orientation="portrait" horizontalDpi="300" verticalDpi="300" r:id="rId1"/>
  <headerFooter alignWithMargins="0"/>
  <rowBreaks count="1" manualBreakCount="1">
    <brk id="39" min="2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C2:K60"/>
  <sheetViews>
    <sheetView view="pageBreakPreview" zoomScaleSheetLayoutView="100" workbookViewId="0">
      <selection activeCell="I6" sqref="I6"/>
    </sheetView>
  </sheetViews>
  <sheetFormatPr defaultColWidth="12.42578125" defaultRowHeight="11.25" outlineLevelCol="1"/>
  <cols>
    <col min="1" max="2" width="2.42578125" style="17" customWidth="1"/>
    <col min="3" max="3" width="15.140625" style="17" customWidth="1"/>
    <col min="4" max="4" width="13.42578125" style="17" customWidth="1"/>
    <col min="5" max="5" width="15.42578125" style="17" customWidth="1"/>
    <col min="6" max="7" width="13.7109375" style="17" hidden="1" customWidth="1" outlineLevel="1"/>
    <col min="8" max="8" width="12.42578125" style="66" customWidth="1" collapsed="1"/>
    <col min="9" max="9" width="13.7109375" style="17" customWidth="1"/>
    <col min="10" max="10" width="2.140625" style="17" customWidth="1"/>
    <col min="11" max="16384" width="12.42578125" style="17"/>
  </cols>
  <sheetData>
    <row r="2" spans="3:10">
      <c r="D2" s="30"/>
      <c r="E2" s="31"/>
      <c r="F2" s="30"/>
      <c r="G2" s="30"/>
      <c r="H2" s="60"/>
      <c r="I2" s="30"/>
    </row>
    <row r="3" spans="3:10" ht="12">
      <c r="D3" s="30"/>
      <c r="E3" s="33"/>
      <c r="F3" s="34"/>
      <c r="G3" s="34"/>
      <c r="H3" s="34"/>
      <c r="I3" s="34"/>
    </row>
    <row r="4" spans="3:10" ht="12.75" customHeight="1">
      <c r="D4" s="30"/>
      <c r="E4" s="555"/>
      <c r="F4" s="555"/>
      <c r="G4" s="555"/>
      <c r="H4" s="555"/>
      <c r="I4" s="555"/>
    </row>
    <row r="5" spans="3:10" ht="12.75" customHeight="1">
      <c r="D5" s="556"/>
      <c r="E5" s="556"/>
      <c r="F5" s="556"/>
      <c r="G5" s="556"/>
      <c r="H5" s="556"/>
      <c r="I5" s="556"/>
    </row>
    <row r="6" spans="3:10" ht="20.25">
      <c r="C6" s="7" t="s">
        <v>0</v>
      </c>
      <c r="E6" s="519"/>
      <c r="F6" s="519"/>
      <c r="G6" s="519"/>
      <c r="H6" s="519"/>
      <c r="I6" s="485">
        <f>Содержание!D1</f>
        <v>44697</v>
      </c>
    </row>
    <row r="7" spans="3:10" s="37" customFormat="1" ht="20.100000000000001" customHeight="1">
      <c r="C7" s="546" t="s">
        <v>1</v>
      </c>
      <c r="D7" s="546" t="s">
        <v>2</v>
      </c>
      <c r="E7" s="546" t="s">
        <v>3</v>
      </c>
      <c r="F7" s="553" t="s">
        <v>186</v>
      </c>
      <c r="G7" s="554" t="s">
        <v>187</v>
      </c>
      <c r="H7" s="554"/>
      <c r="I7" s="554"/>
      <c r="J7" s="77"/>
    </row>
    <row r="8" spans="3:10" s="37" customFormat="1" ht="20.100000000000001" customHeight="1">
      <c r="C8" s="546"/>
      <c r="D8" s="546"/>
      <c r="E8" s="546"/>
      <c r="F8" s="553"/>
      <c r="G8" s="176" t="s">
        <v>189</v>
      </c>
      <c r="H8" s="177" t="s">
        <v>190</v>
      </c>
      <c r="I8" s="176" t="s">
        <v>191</v>
      </c>
      <c r="J8" s="77"/>
    </row>
    <row r="9" spans="3:10" ht="26.45" customHeight="1">
      <c r="C9" s="610" t="s">
        <v>111</v>
      </c>
      <c r="D9" s="620" t="s">
        <v>22</v>
      </c>
      <c r="E9" s="67" t="s">
        <v>6</v>
      </c>
      <c r="F9" s="448">
        <f>CEILING(12100*(1+'!!!НАЦЕНКИ'!$B$4), 50)</f>
        <v>14300</v>
      </c>
      <c r="G9" s="83">
        <f>CEILING(H9*(1+Наценки!$H$13), 50)</f>
        <v>8350</v>
      </c>
      <c r="H9" s="84">
        <f>CEILING(F9*(1-Наценки!$I$15), 50)</f>
        <v>8750</v>
      </c>
      <c r="I9" s="85">
        <f>CEILING(H9*(1+Наценки!$J$13), 50)</f>
        <v>9200</v>
      </c>
    </row>
    <row r="10" spans="3:10" ht="26.45" customHeight="1">
      <c r="C10" s="610"/>
      <c r="D10" s="620"/>
      <c r="E10" s="68" t="s">
        <v>7</v>
      </c>
      <c r="F10" s="180">
        <f>CEILING($F$9*(1+Наценки!F3), 100)</f>
        <v>15100</v>
      </c>
      <c r="G10" s="42">
        <f>CEILING(H10*(1+Наценки!$H$13), 50)</f>
        <v>8800</v>
      </c>
      <c r="H10" s="43">
        <f>CEILING(F10*(1-Наценки!$I$15), 50)</f>
        <v>9250</v>
      </c>
      <c r="I10" s="58">
        <f>CEILING(H10*(1+Наценки!$J$13), 50)</f>
        <v>9750</v>
      </c>
    </row>
    <row r="11" spans="3:10" ht="26.45" customHeight="1">
      <c r="C11" s="610"/>
      <c r="D11" s="620"/>
      <c r="E11" s="67" t="s">
        <v>8</v>
      </c>
      <c r="F11" s="181">
        <f>CEILING($F$9*(1+Наценки!F4), 100)</f>
        <v>15800</v>
      </c>
      <c r="G11" s="39">
        <f>CEILING(H11*(1+Наценки!$H$13), 50)</f>
        <v>9200</v>
      </c>
      <c r="H11" s="40">
        <f>CEILING(F11*(1-Наценки!$I$15), 50)</f>
        <v>9650</v>
      </c>
      <c r="I11" s="59">
        <f>CEILING(H11*(1+Наценки!$J$13), 50)</f>
        <v>10150</v>
      </c>
    </row>
    <row r="12" spans="3:10" ht="26.45" customHeight="1">
      <c r="C12" s="610"/>
      <c r="D12" s="620"/>
      <c r="E12" s="68" t="s">
        <v>9</v>
      </c>
      <c r="F12" s="180">
        <f>CEILING($F$9*(1+Наценки!F5), 100)</f>
        <v>16500</v>
      </c>
      <c r="G12" s="42">
        <f>CEILING(H12*(1+Наценки!$H$13), 50)</f>
        <v>9600</v>
      </c>
      <c r="H12" s="43">
        <f>CEILING(F12*(1-Наценки!$I$15), 50)</f>
        <v>10100</v>
      </c>
      <c r="I12" s="58">
        <f>CEILING(H12*(1+Наценки!$J$13), 50)</f>
        <v>10650</v>
      </c>
    </row>
    <row r="13" spans="3:10" s="69" customFormat="1" ht="26.45" customHeight="1" thickBot="1">
      <c r="C13" s="576"/>
      <c r="D13" s="621"/>
      <c r="E13" s="123" t="s">
        <v>10</v>
      </c>
      <c r="F13" s="182">
        <f>CEILING($F$9*(1+Наценки!F6), 100)</f>
        <v>17200</v>
      </c>
      <c r="G13" s="88">
        <f>CEILING(H13*(1+Наценки!$H$13), 50)</f>
        <v>10000</v>
      </c>
      <c r="H13" s="89">
        <f>CEILING(F13*(1-Наценки!$I$15), 50)</f>
        <v>10500</v>
      </c>
      <c r="I13" s="90">
        <f>CEILING(H13*(1+Наценки!$J$13), 50)</f>
        <v>11050</v>
      </c>
    </row>
    <row r="14" spans="3:10" ht="26.45" customHeight="1">
      <c r="C14" s="594" t="s">
        <v>112</v>
      </c>
      <c r="D14" s="597" t="s">
        <v>22</v>
      </c>
      <c r="E14" s="124" t="s">
        <v>6</v>
      </c>
      <c r="F14" s="448">
        <f>CEILING(13100*(1+'!!!НАЦЕНКИ'!$B$4), 50)</f>
        <v>15500</v>
      </c>
      <c r="G14" s="83">
        <f>CEILING(H14*(1+Наценки!$H$13), 50)</f>
        <v>9050</v>
      </c>
      <c r="H14" s="84">
        <f>CEILING(F14*(1-Наценки!$I$15), 50)</f>
        <v>9500</v>
      </c>
      <c r="I14" s="85">
        <f>CEILING(H14*(1+Наценки!$J$13), 50)</f>
        <v>10000</v>
      </c>
    </row>
    <row r="15" spans="3:10" ht="26.45" customHeight="1">
      <c r="C15" s="610"/>
      <c r="D15" s="620"/>
      <c r="E15" s="68" t="s">
        <v>7</v>
      </c>
      <c r="F15" s="180">
        <f>CEILING($F$14*(1+Наценки!F3), 100)</f>
        <v>16300</v>
      </c>
      <c r="G15" s="42">
        <f>CEILING(H15*(1+Наценки!$H$13), 50)</f>
        <v>9500</v>
      </c>
      <c r="H15" s="43">
        <f>CEILING(F15*(1-Наценки!$I$15), 50)</f>
        <v>9950</v>
      </c>
      <c r="I15" s="58">
        <f>CEILING(H15*(1+Наценки!$J$13), 50)</f>
        <v>10450</v>
      </c>
    </row>
    <row r="16" spans="3:10" ht="26.45" customHeight="1">
      <c r="C16" s="610"/>
      <c r="D16" s="620"/>
      <c r="E16" s="67" t="s">
        <v>8</v>
      </c>
      <c r="F16" s="181">
        <f>CEILING($F$14*(1+Наценки!F4), 100)</f>
        <v>17100</v>
      </c>
      <c r="G16" s="39">
        <f>CEILING(H16*(1+Наценки!$H$13), 50)</f>
        <v>9950</v>
      </c>
      <c r="H16" s="40">
        <f>CEILING(F16*(1-Наценки!$I$15), 50)</f>
        <v>10450</v>
      </c>
      <c r="I16" s="59">
        <f>CEILING(H16*(1+Наценки!$J$13), 50)</f>
        <v>11000</v>
      </c>
    </row>
    <row r="17" spans="3:11" ht="26.45" customHeight="1">
      <c r="C17" s="610"/>
      <c r="D17" s="620"/>
      <c r="E17" s="68" t="s">
        <v>9</v>
      </c>
      <c r="F17" s="180">
        <f>CEILING($F$14*(1+Наценки!F5), 100)</f>
        <v>17900</v>
      </c>
      <c r="G17" s="42">
        <f>CEILING(H17*(1+Наценки!$H$13), 50)</f>
        <v>10450</v>
      </c>
      <c r="H17" s="43">
        <f>CEILING(F17*(1-Наценки!$I$15), 50)</f>
        <v>10950</v>
      </c>
      <c r="I17" s="58">
        <f>CEILING(H17*(1+Наценки!$J$13), 50)</f>
        <v>11500</v>
      </c>
    </row>
    <row r="18" spans="3:11" s="69" customFormat="1" ht="26.45" customHeight="1" thickBot="1">
      <c r="C18" s="576"/>
      <c r="D18" s="621"/>
      <c r="E18" s="123" t="s">
        <v>10</v>
      </c>
      <c r="F18" s="182">
        <f>CEILING($F$14*(1+Наценки!F6), 100)</f>
        <v>18600</v>
      </c>
      <c r="G18" s="88">
        <f>CEILING(H18*(1+Наценки!$H$13), 50)</f>
        <v>10800</v>
      </c>
      <c r="H18" s="89">
        <f>CEILING(F18*(1-Наценки!$I$15), 50)</f>
        <v>11350</v>
      </c>
      <c r="I18" s="90">
        <f>CEILING(H18*(1+Наценки!$J$13), 50)</f>
        <v>11950</v>
      </c>
    </row>
    <row r="19" spans="3:11" ht="26.45" customHeight="1">
      <c r="C19" s="594" t="s">
        <v>113</v>
      </c>
      <c r="D19" s="597" t="s">
        <v>22</v>
      </c>
      <c r="E19" s="124" t="s">
        <v>6</v>
      </c>
      <c r="F19" s="448">
        <f>CEILING(14100*(1+'!!!НАЦЕНКИ'!$B$4), 50)</f>
        <v>16650</v>
      </c>
      <c r="G19" s="83">
        <f>CEILING(H19*(1+Наценки!$H$13), 50)</f>
        <v>9700</v>
      </c>
      <c r="H19" s="84">
        <f>CEILING(F19*(1-Наценки!$I$15), 50)</f>
        <v>10200</v>
      </c>
      <c r="I19" s="85">
        <f>CEILING(H19*(1+Наценки!$J$13), 50)</f>
        <v>10750</v>
      </c>
    </row>
    <row r="20" spans="3:11" ht="26.45" customHeight="1">
      <c r="C20" s="610"/>
      <c r="D20" s="620"/>
      <c r="E20" s="68" t="s">
        <v>7</v>
      </c>
      <c r="F20" s="180">
        <f>CEILING($F$19*(1+Наценки!F3), 100)</f>
        <v>17500</v>
      </c>
      <c r="G20" s="42">
        <f>CEILING(H20*(1+Наценки!$H$13), 50)</f>
        <v>10200</v>
      </c>
      <c r="H20" s="43">
        <f>CEILING(F20*(1-Наценки!$I$15), 50)</f>
        <v>10700</v>
      </c>
      <c r="I20" s="58">
        <f>CEILING(H20*(1+Наценки!$J$13), 50)</f>
        <v>11250</v>
      </c>
    </row>
    <row r="21" spans="3:11" ht="26.45" customHeight="1">
      <c r="C21" s="610"/>
      <c r="D21" s="620"/>
      <c r="E21" s="67" t="s">
        <v>8</v>
      </c>
      <c r="F21" s="181">
        <f>CEILING($F$19*(1+Наценки!F4), 100)</f>
        <v>18400</v>
      </c>
      <c r="G21" s="39">
        <f>CEILING(H21*(1+Наценки!$H$13), 50)</f>
        <v>10700</v>
      </c>
      <c r="H21" s="40">
        <f>CEILING(F21*(1-Наценки!$I$15), 50)</f>
        <v>11250</v>
      </c>
      <c r="I21" s="59">
        <f>CEILING(H21*(1+Наценки!$J$13), 50)</f>
        <v>11850</v>
      </c>
    </row>
    <row r="22" spans="3:11" ht="26.45" customHeight="1">
      <c r="C22" s="610"/>
      <c r="D22" s="620"/>
      <c r="E22" s="68" t="s">
        <v>9</v>
      </c>
      <c r="F22" s="180">
        <f>CEILING($F$19*(1+Наценки!F5), 100)</f>
        <v>19200</v>
      </c>
      <c r="G22" s="42">
        <f>CEILING(H22*(1+Наценки!$H$13), 50)</f>
        <v>11200</v>
      </c>
      <c r="H22" s="43">
        <f>CEILING(F22*(1-Наценки!$I$15), 50)</f>
        <v>11750</v>
      </c>
      <c r="I22" s="58">
        <f>CEILING(H22*(1+Наценки!$J$13), 50)</f>
        <v>12350</v>
      </c>
    </row>
    <row r="23" spans="3:11" s="69" customFormat="1" ht="26.45" customHeight="1" thickBot="1">
      <c r="C23" s="576"/>
      <c r="D23" s="621"/>
      <c r="E23" s="123" t="s">
        <v>10</v>
      </c>
      <c r="F23" s="182">
        <f>CEILING($F$19*(1+Наценки!F6), 100)</f>
        <v>20000</v>
      </c>
      <c r="G23" s="88">
        <f>CEILING(H23*(1+Наценки!$H$13), 50)</f>
        <v>11600</v>
      </c>
      <c r="H23" s="89">
        <f>CEILING(F23*(1-Наценки!$I$15), 50)</f>
        <v>12200</v>
      </c>
      <c r="I23" s="90">
        <f>CEILING(H23*(1+Наценки!$J$13), 50)</f>
        <v>12850</v>
      </c>
    </row>
    <row r="24" spans="3:11" ht="26.45" customHeight="1">
      <c r="C24" s="594" t="s">
        <v>114</v>
      </c>
      <c r="D24" s="597" t="s">
        <v>22</v>
      </c>
      <c r="E24" s="124" t="s">
        <v>6</v>
      </c>
      <c r="F24" s="448">
        <f>CEILING(14450*(1+'!!!НАЦЕНКИ'!$B$4), 50)</f>
        <v>17100</v>
      </c>
      <c r="G24" s="83">
        <f>CEILING(H24*(1+Наценки!$H$13), 50)</f>
        <v>9950</v>
      </c>
      <c r="H24" s="84">
        <f>CEILING(F24*(1-Наценки!$I$15), 50)</f>
        <v>10450</v>
      </c>
      <c r="I24" s="85">
        <f>CEILING(H24*(1+Наценки!$J$13), 50)</f>
        <v>11000</v>
      </c>
    </row>
    <row r="25" spans="3:11" ht="26.45" customHeight="1">
      <c r="C25" s="610"/>
      <c r="D25" s="620"/>
      <c r="E25" s="68" t="s">
        <v>7</v>
      </c>
      <c r="F25" s="180">
        <f>CEILING($F$24*(1+Наценки!F3), 100)</f>
        <v>18000</v>
      </c>
      <c r="G25" s="42">
        <f>CEILING(H25*(1+Наценки!$H$13), 50)</f>
        <v>10450</v>
      </c>
      <c r="H25" s="43">
        <f>CEILING(F25*(1-Наценки!$I$15), 50)</f>
        <v>11000</v>
      </c>
      <c r="I25" s="58">
        <f>CEILING(H25*(1+Наценки!$J$13), 50)</f>
        <v>11550</v>
      </c>
    </row>
    <row r="26" spans="3:11" ht="26.45" customHeight="1">
      <c r="C26" s="610"/>
      <c r="D26" s="620"/>
      <c r="E26" s="67" t="s">
        <v>8</v>
      </c>
      <c r="F26" s="181">
        <f>CEILING($F$24*(1+Наценки!F4), 100)</f>
        <v>18900</v>
      </c>
      <c r="G26" s="39">
        <f>CEILING(H26*(1+Наценки!$H$13), 50)</f>
        <v>11000</v>
      </c>
      <c r="H26" s="40">
        <f>CEILING(F26*(1-Наценки!$I$15), 50)</f>
        <v>11550</v>
      </c>
      <c r="I26" s="59">
        <f>CEILING(H26*(1+Наценки!$J$13), 50)</f>
        <v>12150</v>
      </c>
    </row>
    <row r="27" spans="3:11" ht="26.45" customHeight="1">
      <c r="C27" s="610"/>
      <c r="D27" s="620"/>
      <c r="E27" s="68" t="s">
        <v>9</v>
      </c>
      <c r="F27" s="180">
        <f>CEILING($F$24*(1+Наценки!F5), 100)</f>
        <v>19700</v>
      </c>
      <c r="G27" s="42">
        <f>CEILING(H27*(1+Наценки!$H$13), 50)</f>
        <v>11450</v>
      </c>
      <c r="H27" s="43">
        <f>CEILING(F27*(1-Наценки!$I$15), 50)</f>
        <v>12050</v>
      </c>
      <c r="I27" s="58">
        <f>CEILING(H27*(1+Наценки!$J$13), 50)</f>
        <v>12700</v>
      </c>
    </row>
    <row r="28" spans="3:11" s="69" customFormat="1" ht="26.45" customHeight="1" thickBot="1">
      <c r="C28" s="576"/>
      <c r="D28" s="621"/>
      <c r="E28" s="123" t="s">
        <v>10</v>
      </c>
      <c r="F28" s="182">
        <f>CEILING($F$24*(1+Наценки!F6), 100)</f>
        <v>20600</v>
      </c>
      <c r="G28" s="88">
        <f>CEILING(H28*(1+Наценки!$H$13), 50)</f>
        <v>12000</v>
      </c>
      <c r="H28" s="89">
        <f>CEILING(F28*(1-Наценки!$I$15), 50)</f>
        <v>12600</v>
      </c>
      <c r="I28" s="90">
        <f>CEILING(H28*(1+Наценки!$J$13), 50)</f>
        <v>13250</v>
      </c>
      <c r="K28" s="189"/>
    </row>
    <row r="29" spans="3:11" s="47" customFormat="1" ht="12"/>
    <row r="30" spans="3:11" s="47" customFormat="1" ht="12" customHeight="1">
      <c r="C30" s="49"/>
      <c r="D30" s="50"/>
      <c r="E30" s="50"/>
      <c r="F30" s="51"/>
      <c r="G30" s="51"/>
      <c r="H30" s="51"/>
      <c r="I30" s="51"/>
    </row>
    <row r="31" spans="3:11" s="37" customFormat="1" ht="33.4" customHeight="1">
      <c r="C31" s="36" t="s">
        <v>1</v>
      </c>
      <c r="D31" s="36" t="s">
        <v>115</v>
      </c>
      <c r="E31" s="172" t="s">
        <v>116</v>
      </c>
      <c r="F31" s="191" t="s">
        <v>209</v>
      </c>
      <c r="G31" s="191" t="s">
        <v>189</v>
      </c>
      <c r="H31" s="190" t="s">
        <v>190</v>
      </c>
      <c r="I31" s="191" t="s">
        <v>191</v>
      </c>
    </row>
    <row r="32" spans="3:11" ht="22.15" customHeight="1">
      <c r="C32" s="659" t="s">
        <v>117</v>
      </c>
      <c r="D32" s="660" t="s">
        <v>118</v>
      </c>
      <c r="E32" s="631" t="s">
        <v>119</v>
      </c>
      <c r="F32" s="633">
        <f>CEILING(5300*(1+'!!!НАЦЕНКИ'!$B$6), 10)</f>
        <v>5830</v>
      </c>
      <c r="G32" s="635">
        <f>CEILING(H32*(1+Наценки!$H$13), 10)</f>
        <v>3390</v>
      </c>
      <c r="H32" s="635">
        <f>CEILING(F32*(1-Наценки!$I$15), 10)</f>
        <v>3560</v>
      </c>
      <c r="I32" s="635">
        <f>CEILING(H32*(1+Наценки!$J$13), 10)</f>
        <v>3740</v>
      </c>
    </row>
    <row r="33" spans="3:9" ht="22.15" customHeight="1">
      <c r="C33" s="641"/>
      <c r="D33" s="592"/>
      <c r="E33" s="632"/>
      <c r="F33" s="634">
        <f>CEILING(14450*(1+'!!!НАЦЕНКИ'!$B$4), 50)</f>
        <v>17100</v>
      </c>
      <c r="G33" s="636"/>
      <c r="H33" s="636"/>
      <c r="I33" s="636"/>
    </row>
    <row r="34" spans="3:9" ht="22.15" customHeight="1">
      <c r="C34" s="641"/>
      <c r="D34" s="592"/>
      <c r="E34" s="658" t="s">
        <v>120</v>
      </c>
      <c r="F34" s="637">
        <f>F32+950</f>
        <v>6780</v>
      </c>
      <c r="G34" s="639">
        <f>CEILING(H34*(1+Наценки!$H$13), 10)</f>
        <v>3940</v>
      </c>
      <c r="H34" s="639">
        <f>CEILING(F34*(1-Наценки!$I$15), 10)</f>
        <v>4140</v>
      </c>
      <c r="I34" s="639">
        <f>CEILING(H34*(1+Наценки!$J$13), 10)</f>
        <v>4350</v>
      </c>
    </row>
    <row r="35" spans="3:9" ht="22.15" customHeight="1">
      <c r="C35" s="641"/>
      <c r="D35" s="592"/>
      <c r="E35" s="644"/>
      <c r="F35" s="638"/>
      <c r="G35" s="640"/>
      <c r="H35" s="640"/>
      <c r="I35" s="640"/>
    </row>
    <row r="36" spans="3:9" ht="22.15" customHeight="1">
      <c r="C36" s="641"/>
      <c r="D36" s="592"/>
      <c r="E36" s="647" t="s">
        <v>121</v>
      </c>
      <c r="F36" s="649">
        <v>0</v>
      </c>
      <c r="G36" s="651">
        <f>CEILING(H36*(1+Наценки!$H$13), 10)</f>
        <v>0</v>
      </c>
      <c r="H36" s="651">
        <f>CEILING(F36*(1-Наценки!$I$15), 10)</f>
        <v>0</v>
      </c>
      <c r="I36" s="651">
        <f>CEILING(H36*(1+Наценки!$J$13), 10)</f>
        <v>0</v>
      </c>
    </row>
    <row r="37" spans="3:9" ht="22.15" customHeight="1" thickBot="1">
      <c r="C37" s="642"/>
      <c r="D37" s="593"/>
      <c r="E37" s="648"/>
      <c r="F37" s="650"/>
      <c r="G37" s="652"/>
      <c r="H37" s="652"/>
      <c r="I37" s="652"/>
    </row>
    <row r="38" spans="3:9" ht="22.15" customHeight="1">
      <c r="C38" s="641" t="s">
        <v>122</v>
      </c>
      <c r="D38" s="592" t="s">
        <v>118</v>
      </c>
      <c r="E38" s="643" t="s">
        <v>119</v>
      </c>
      <c r="F38" s="645">
        <f>CEILING(3650*(1+'!!!НАЦЕНКИ'!$B$6), 10)</f>
        <v>4020</v>
      </c>
      <c r="G38" s="646">
        <f>CEILING(H38*(1+Наценки!$H$13), 10)</f>
        <v>2340</v>
      </c>
      <c r="H38" s="646">
        <f>CEILING(F38*(1-Наценки!$I$15), 10)</f>
        <v>2460</v>
      </c>
      <c r="I38" s="646">
        <f>CEILING(H38*(1+Наценки!$J$13), 10)</f>
        <v>2590</v>
      </c>
    </row>
    <row r="39" spans="3:9" ht="22.15" customHeight="1">
      <c r="C39" s="641"/>
      <c r="D39" s="592"/>
      <c r="E39" s="644"/>
      <c r="F39" s="638">
        <f>CEILING(14450*(1+'!!!НАЦЕНКИ'!$B$4), 50)</f>
        <v>17100</v>
      </c>
      <c r="G39" s="640"/>
      <c r="H39" s="640"/>
      <c r="I39" s="640"/>
    </row>
    <row r="40" spans="3:9" ht="22.15" customHeight="1">
      <c r="C40" s="641"/>
      <c r="D40" s="592"/>
      <c r="E40" s="631" t="s">
        <v>120</v>
      </c>
      <c r="F40" s="633">
        <f>F38+650</f>
        <v>4670</v>
      </c>
      <c r="G40" s="635">
        <f>CEILING(H40*(1+Наценки!$H$13), 10)</f>
        <v>2710</v>
      </c>
      <c r="H40" s="635">
        <f>CEILING(F40*(1-Наценки!$I$15), 10)</f>
        <v>2850</v>
      </c>
      <c r="I40" s="635">
        <f>CEILING(H40*(1+Наценки!$J$13), 10)</f>
        <v>3000</v>
      </c>
    </row>
    <row r="41" spans="3:9" ht="22.15" customHeight="1">
      <c r="C41" s="641"/>
      <c r="D41" s="592"/>
      <c r="E41" s="632"/>
      <c r="F41" s="634"/>
      <c r="G41" s="636"/>
      <c r="H41" s="636"/>
      <c r="I41" s="636"/>
    </row>
    <row r="42" spans="3:9" ht="22.15" customHeight="1">
      <c r="C42" s="641"/>
      <c r="D42" s="592"/>
      <c r="E42" s="656" t="s">
        <v>121</v>
      </c>
      <c r="F42" s="627">
        <v>500</v>
      </c>
      <c r="G42" s="629">
        <f>CEILING(H42*(1+Наценки!$H$13), 10)</f>
        <v>300</v>
      </c>
      <c r="H42" s="629">
        <f>CEILING(F42*(1-Наценки!$I$15), 10)</f>
        <v>310</v>
      </c>
      <c r="I42" s="629">
        <f>CEILING(H42*(1+Наценки!$J$13), 10)</f>
        <v>330</v>
      </c>
    </row>
    <row r="43" spans="3:9" ht="22.15" customHeight="1" thickBot="1">
      <c r="C43" s="642"/>
      <c r="D43" s="593"/>
      <c r="E43" s="657"/>
      <c r="F43" s="628"/>
      <c r="G43" s="630"/>
      <c r="H43" s="630"/>
      <c r="I43" s="630"/>
    </row>
    <row r="44" spans="3:9" ht="22.15" customHeight="1">
      <c r="C44" s="641" t="s">
        <v>123</v>
      </c>
      <c r="D44" s="592" t="s">
        <v>118</v>
      </c>
      <c r="E44" s="653" t="s">
        <v>119</v>
      </c>
      <c r="F44" s="654">
        <f>CEILING(3550*(1+'!!!НАЦЕНКИ'!$B$6), 10)</f>
        <v>3910</v>
      </c>
      <c r="G44" s="655">
        <f>CEILING(H44*(1+Наценки!$H$13), 10)</f>
        <v>2280</v>
      </c>
      <c r="H44" s="655">
        <f>CEILING(F44*(1-Наценки!$I$15), 10)</f>
        <v>2390</v>
      </c>
      <c r="I44" s="655">
        <f>CEILING(H44*(1+Наценки!$J$13), 10)</f>
        <v>2510</v>
      </c>
    </row>
    <row r="45" spans="3:9" ht="22.15" customHeight="1">
      <c r="C45" s="641"/>
      <c r="D45" s="592"/>
      <c r="E45" s="632"/>
      <c r="F45" s="634">
        <f>CEILING(14450*(1+'!!!НАЦЕНКИ'!$B$4), 50)</f>
        <v>17100</v>
      </c>
      <c r="G45" s="636"/>
      <c r="H45" s="636"/>
      <c r="I45" s="636"/>
    </row>
    <row r="46" spans="3:9" ht="22.15" customHeight="1">
      <c r="C46" s="641"/>
      <c r="D46" s="592"/>
      <c r="E46" s="658" t="s">
        <v>120</v>
      </c>
      <c r="F46" s="637">
        <f>F44+550</f>
        <v>4460</v>
      </c>
      <c r="G46" s="639">
        <f>CEILING(H46*(1+Наценки!$H$13), 10)</f>
        <v>2590</v>
      </c>
      <c r="H46" s="639">
        <f>CEILING(F46*(1-Наценки!$I$15), 10)</f>
        <v>2720</v>
      </c>
      <c r="I46" s="639">
        <f>CEILING(H46*(1+Наценки!$J$13), 10)</f>
        <v>2860</v>
      </c>
    </row>
    <row r="47" spans="3:9" ht="22.15" customHeight="1">
      <c r="C47" s="641"/>
      <c r="D47" s="592"/>
      <c r="E47" s="644"/>
      <c r="F47" s="638"/>
      <c r="G47" s="640"/>
      <c r="H47" s="640"/>
      <c r="I47" s="640"/>
    </row>
    <row r="48" spans="3:9" ht="22.15" customHeight="1">
      <c r="C48" s="641"/>
      <c r="D48" s="592"/>
      <c r="E48" s="647" t="s">
        <v>121</v>
      </c>
      <c r="F48" s="649">
        <f>F42</f>
        <v>500</v>
      </c>
      <c r="G48" s="651">
        <f>CEILING(H48*(1+Наценки!$H$13), 10)</f>
        <v>300</v>
      </c>
      <c r="H48" s="651">
        <f>CEILING(F48*(1-Наценки!$I$15), 10)</f>
        <v>310</v>
      </c>
      <c r="I48" s="651">
        <f>CEILING(H48*(1+Наценки!$J$13), 10)</f>
        <v>330</v>
      </c>
    </row>
    <row r="49" spans="3:9" ht="22.15" customHeight="1" thickBot="1">
      <c r="C49" s="642"/>
      <c r="D49" s="593"/>
      <c r="E49" s="648"/>
      <c r="F49" s="650"/>
      <c r="G49" s="652"/>
      <c r="H49" s="652"/>
      <c r="I49" s="652"/>
    </row>
    <row r="50" spans="3:9" ht="22.15" customHeight="1">
      <c r="C50" s="641" t="s">
        <v>124</v>
      </c>
      <c r="D50" s="592" t="s">
        <v>125</v>
      </c>
      <c r="E50" s="643" t="s">
        <v>119</v>
      </c>
      <c r="F50" s="645">
        <f>CEILING(3800*(1+'!!!НАЦЕНКИ'!$B$6), 10)</f>
        <v>4180</v>
      </c>
      <c r="G50" s="646">
        <f>CEILING(H50*(1+Наценки!$H$13), 10)</f>
        <v>2430</v>
      </c>
      <c r="H50" s="646">
        <f>CEILING(F50*(1-Наценки!$I$15), 10)</f>
        <v>2550</v>
      </c>
      <c r="I50" s="646">
        <f>CEILING(H50*(1+Наценки!$J$13), 10)</f>
        <v>2680</v>
      </c>
    </row>
    <row r="51" spans="3:9" ht="22.15" customHeight="1">
      <c r="C51" s="641"/>
      <c r="D51" s="592"/>
      <c r="E51" s="644"/>
      <c r="F51" s="638">
        <f>CEILING(14450*(1+'!!!НАЦЕНКИ'!$B$4), 50)</f>
        <v>17100</v>
      </c>
      <c r="G51" s="640"/>
      <c r="H51" s="640"/>
      <c r="I51" s="640"/>
    </row>
    <row r="52" spans="3:9" ht="22.15" customHeight="1">
      <c r="C52" s="641"/>
      <c r="D52" s="592"/>
      <c r="E52" s="631" t="s">
        <v>120</v>
      </c>
      <c r="F52" s="633">
        <f>F50+800</f>
        <v>4980</v>
      </c>
      <c r="G52" s="635">
        <f>CEILING(H52*(1+Наценки!$H$13), 10)</f>
        <v>2890</v>
      </c>
      <c r="H52" s="635">
        <f>CEILING(F52*(1-Наценки!$I$15), 10)</f>
        <v>3040</v>
      </c>
      <c r="I52" s="635">
        <f>CEILING(H52*(1+Наценки!$J$13), 10)</f>
        <v>3200</v>
      </c>
    </row>
    <row r="53" spans="3:9" ht="22.15" customHeight="1">
      <c r="C53" s="641"/>
      <c r="D53" s="592"/>
      <c r="E53" s="632"/>
      <c r="F53" s="634"/>
      <c r="G53" s="636"/>
      <c r="H53" s="636"/>
      <c r="I53" s="636"/>
    </row>
    <row r="54" spans="3:9" ht="22.15" customHeight="1">
      <c r="C54" s="641"/>
      <c r="D54" s="592"/>
      <c r="E54" s="625" t="s">
        <v>121</v>
      </c>
      <c r="F54" s="627">
        <v>650</v>
      </c>
      <c r="G54" s="629">
        <f>CEILING(H54*(1+Наценки!$H$13), 10)</f>
        <v>380</v>
      </c>
      <c r="H54" s="629">
        <f>CEILING(F54*(1-Наценки!$I$15), 10)</f>
        <v>400</v>
      </c>
      <c r="I54" s="629">
        <f>CEILING(H54*(1+Наценки!$J$13), 10)</f>
        <v>420</v>
      </c>
    </row>
    <row r="55" spans="3:9" ht="22.15" customHeight="1" thickBot="1">
      <c r="C55" s="642"/>
      <c r="D55" s="593"/>
      <c r="E55" s="626"/>
      <c r="F55" s="628"/>
      <c r="G55" s="630"/>
      <c r="H55" s="630"/>
      <c r="I55" s="630"/>
    </row>
    <row r="57" spans="3:9" s="47" customFormat="1" ht="12" customHeight="1">
      <c r="C57" s="49" t="s">
        <v>126</v>
      </c>
      <c r="D57" s="50"/>
      <c r="E57" s="50"/>
      <c r="F57" s="51"/>
      <c r="G57" s="51"/>
      <c r="H57" s="51"/>
      <c r="I57" s="51"/>
    </row>
    <row r="58" spans="3:9">
      <c r="C58" s="17" t="s">
        <v>298</v>
      </c>
    </row>
    <row r="59" spans="3:9">
      <c r="C59" s="17" t="s">
        <v>299</v>
      </c>
    </row>
    <row r="60" spans="3:9">
      <c r="C60" s="17" t="s">
        <v>304</v>
      </c>
    </row>
  </sheetData>
  <sheetProtection selectLockedCells="1" selectUnlockedCells="1"/>
  <mergeCells count="83">
    <mergeCell ref="E4:I4"/>
    <mergeCell ref="D5:I5"/>
    <mergeCell ref="C9:C13"/>
    <mergeCell ref="D9:D13"/>
    <mergeCell ref="C7:C8"/>
    <mergeCell ref="D7:D8"/>
    <mergeCell ref="E7:E8"/>
    <mergeCell ref="F7:F8"/>
    <mergeCell ref="G7:I7"/>
    <mergeCell ref="C19:C23"/>
    <mergeCell ref="D19:D23"/>
    <mergeCell ref="C24:C28"/>
    <mergeCell ref="D24:D28"/>
    <mergeCell ref="C14:C18"/>
    <mergeCell ref="D14:D18"/>
    <mergeCell ref="F32:F33"/>
    <mergeCell ref="G32:G33"/>
    <mergeCell ref="H32:H33"/>
    <mergeCell ref="I32:I33"/>
    <mergeCell ref="E34:E35"/>
    <mergeCell ref="F34:F35"/>
    <mergeCell ref="G34:G35"/>
    <mergeCell ref="H34:H35"/>
    <mergeCell ref="I34:I35"/>
    <mergeCell ref="E32:E33"/>
    <mergeCell ref="F36:F37"/>
    <mergeCell ref="G36:G37"/>
    <mergeCell ref="H36:H37"/>
    <mergeCell ref="I36:I37"/>
    <mergeCell ref="C38:C43"/>
    <mergeCell ref="D38:D43"/>
    <mergeCell ref="E38:E39"/>
    <mergeCell ref="F38:F39"/>
    <mergeCell ref="G38:G39"/>
    <mergeCell ref="H38:H39"/>
    <mergeCell ref="C32:C37"/>
    <mergeCell ref="D32:D37"/>
    <mergeCell ref="E36:E37"/>
    <mergeCell ref="I38:I39"/>
    <mergeCell ref="E40:E41"/>
    <mergeCell ref="F40:F41"/>
    <mergeCell ref="G40:G41"/>
    <mergeCell ref="H40:H41"/>
    <mergeCell ref="I40:I41"/>
    <mergeCell ref="C44:C49"/>
    <mergeCell ref="D44:D49"/>
    <mergeCell ref="E44:E45"/>
    <mergeCell ref="F44:F45"/>
    <mergeCell ref="G44:G45"/>
    <mergeCell ref="E42:E43"/>
    <mergeCell ref="F42:F43"/>
    <mergeCell ref="G42:G43"/>
    <mergeCell ref="H42:H43"/>
    <mergeCell ref="I42:I43"/>
    <mergeCell ref="H44:H45"/>
    <mergeCell ref="I44:I45"/>
    <mergeCell ref="E46:E47"/>
    <mergeCell ref="F46:F47"/>
    <mergeCell ref="G46:G47"/>
    <mergeCell ref="H46:H47"/>
    <mergeCell ref="I46:I47"/>
    <mergeCell ref="C50:C55"/>
    <mergeCell ref="D50:D55"/>
    <mergeCell ref="E50:E51"/>
    <mergeCell ref="F50:F51"/>
    <mergeCell ref="G50:G51"/>
    <mergeCell ref="E48:E49"/>
    <mergeCell ref="F48:F49"/>
    <mergeCell ref="G48:G49"/>
    <mergeCell ref="H48:H49"/>
    <mergeCell ref="I48:I49"/>
    <mergeCell ref="H50:H51"/>
    <mergeCell ref="I50:I51"/>
    <mergeCell ref="E52:E53"/>
    <mergeCell ref="F52:F53"/>
    <mergeCell ref="G52:G53"/>
    <mergeCell ref="H52:H53"/>
    <mergeCell ref="I52:I53"/>
    <mergeCell ref="E54:E55"/>
    <mergeCell ref="F54:F55"/>
    <mergeCell ref="G54:G55"/>
    <mergeCell ref="H54:H55"/>
    <mergeCell ref="I54:I55"/>
  </mergeCells>
  <hyperlinks>
    <hyperlink ref="C6" location="Содержание!A1" display="Содержание"/>
  </hyperlinks>
  <pageMargins left="0.19652777777777777" right="0.19652777777777777" top="0.19652777777777777" bottom="0.19652777777777777" header="0.51180555555555551" footer="0.51180555555555551"/>
  <pageSetup paperSize="9" scale="98" firstPageNumber="0" orientation="portrait" horizontalDpi="300" verticalDpi="300" r:id="rId1"/>
  <headerFooter alignWithMargins="0"/>
  <rowBreaks count="1" manualBreakCount="1">
    <brk id="30" min="2" max="8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B2:J34"/>
  <sheetViews>
    <sheetView view="pageBreakPreview" zoomScale="90" zoomScaleSheetLayoutView="90" workbookViewId="0">
      <selection activeCell="I6" sqref="I6"/>
    </sheetView>
  </sheetViews>
  <sheetFormatPr defaultColWidth="12.42578125" defaultRowHeight="11.25" outlineLevelCol="1"/>
  <cols>
    <col min="1" max="1" width="2.42578125" style="17" customWidth="1"/>
    <col min="2" max="3" width="11" style="17" customWidth="1"/>
    <col min="4" max="4" width="13.42578125" style="17" customWidth="1"/>
    <col min="5" max="5" width="11" style="17" bestFit="1" customWidth="1"/>
    <col min="6" max="7" width="11" style="17" hidden="1" customWidth="1" outlineLevel="1"/>
    <col min="8" max="8" width="11" style="53" customWidth="1" collapsed="1"/>
    <col min="9" max="9" width="11" style="17" customWidth="1"/>
    <col min="10" max="10" width="2.140625" style="17" customWidth="1"/>
    <col min="11" max="16384" width="12.42578125" style="17"/>
  </cols>
  <sheetData>
    <row r="2" spans="2:10">
      <c r="D2" s="30"/>
      <c r="E2" s="31"/>
      <c r="F2" s="30"/>
      <c r="G2" s="30"/>
      <c r="H2" s="32"/>
      <c r="I2" s="30"/>
    </row>
    <row r="3" spans="2:10" ht="12">
      <c r="D3" s="30"/>
      <c r="E3" s="33"/>
      <c r="F3" s="34"/>
      <c r="G3" s="34"/>
      <c r="H3" s="35"/>
      <c r="I3" s="34"/>
    </row>
    <row r="4" spans="2:10" ht="12.75" customHeight="1">
      <c r="D4" s="30"/>
      <c r="E4" s="555"/>
      <c r="F4" s="555"/>
      <c r="G4" s="555"/>
      <c r="H4" s="555"/>
      <c r="I4" s="555"/>
    </row>
    <row r="5" spans="2:10" ht="12.75" customHeight="1">
      <c r="D5" s="556"/>
      <c r="E5" s="556"/>
      <c r="F5" s="556"/>
      <c r="G5" s="556"/>
      <c r="H5" s="556"/>
      <c r="I5" s="556"/>
    </row>
    <row r="6" spans="2:10" ht="20.25">
      <c r="B6" s="7" t="s">
        <v>0</v>
      </c>
      <c r="C6" s="7"/>
      <c r="E6" s="519"/>
      <c r="F6" s="519"/>
      <c r="G6" s="519"/>
      <c r="H6" s="519"/>
      <c r="I6" s="485">
        <f>Содержание!D1</f>
        <v>44697</v>
      </c>
    </row>
    <row r="7" spans="2:10" s="37" customFormat="1" ht="20.100000000000001" customHeight="1">
      <c r="B7" s="671" t="s">
        <v>1</v>
      </c>
      <c r="C7" s="672"/>
      <c r="D7" s="546" t="s">
        <v>2</v>
      </c>
      <c r="E7" s="546" t="s">
        <v>3</v>
      </c>
      <c r="F7" s="553" t="s">
        <v>186</v>
      </c>
      <c r="G7" s="554" t="s">
        <v>187</v>
      </c>
      <c r="H7" s="554"/>
      <c r="I7" s="554"/>
      <c r="J7" s="77"/>
    </row>
    <row r="8" spans="2:10" s="37" customFormat="1" ht="20.100000000000001" customHeight="1">
      <c r="B8" s="673"/>
      <c r="C8" s="552"/>
      <c r="D8" s="546"/>
      <c r="E8" s="546"/>
      <c r="F8" s="553"/>
      <c r="G8" s="176" t="s">
        <v>189</v>
      </c>
      <c r="H8" s="177" t="s">
        <v>190</v>
      </c>
      <c r="I8" s="176" t="s">
        <v>191</v>
      </c>
      <c r="J8" s="77"/>
    </row>
    <row r="9" spans="2:10" ht="26.45" customHeight="1">
      <c r="B9" s="668" t="s">
        <v>272</v>
      </c>
      <c r="C9" s="669"/>
      <c r="D9" s="670" t="s">
        <v>22</v>
      </c>
      <c r="E9" s="192" t="s">
        <v>6</v>
      </c>
      <c r="F9" s="245">
        <f>CEILING(10000*(1+'!!!НАЦЕНКИ'!$B$4), 50)</f>
        <v>11800</v>
      </c>
      <c r="G9" s="193">
        <f>CEILING(H9*(1+Наценки!$H$13), 50)</f>
        <v>6850</v>
      </c>
      <c r="H9" s="194">
        <f>CEILING(F9*(1-Наценки!$I$15), 50)</f>
        <v>7200</v>
      </c>
      <c r="I9" s="195">
        <f>CEILING(H9*(1+Наценки!$J$13), 50)</f>
        <v>7600</v>
      </c>
    </row>
    <row r="10" spans="2:10" ht="26.45" customHeight="1">
      <c r="B10" s="587"/>
      <c r="C10" s="663"/>
      <c r="D10" s="592"/>
      <c r="E10" s="196" t="s">
        <v>7</v>
      </c>
      <c r="F10" s="197">
        <f>CEILING($F$9*(1+Наценки!F3), 100)</f>
        <v>12400</v>
      </c>
      <c r="G10" s="198">
        <f>CEILING(H10*(1+Наценки!$H$13), 50)</f>
        <v>7250</v>
      </c>
      <c r="H10" s="199">
        <f>CEILING(F10*(1-Наценки!$I$15), 50)</f>
        <v>7600</v>
      </c>
      <c r="I10" s="200">
        <f>CEILING(H10*(1+Наценки!$J$13), 50)</f>
        <v>8000</v>
      </c>
    </row>
    <row r="11" spans="2:10" ht="26.45" customHeight="1">
      <c r="B11" s="587"/>
      <c r="C11" s="663"/>
      <c r="D11" s="592"/>
      <c r="E11" s="201" t="s">
        <v>8</v>
      </c>
      <c r="F11" s="202">
        <f>CEILING($F$9*(1+Наценки!F4), 100)</f>
        <v>13000</v>
      </c>
      <c r="G11" s="203">
        <f>CEILING(H11*(1+Наценки!$H$13), 50)</f>
        <v>7600</v>
      </c>
      <c r="H11" s="204">
        <f>CEILING(F11*(1-Наценки!$I$15), 50)</f>
        <v>7950</v>
      </c>
      <c r="I11" s="205">
        <f>CEILING(H11*(1+Наценки!$J$13), 50)</f>
        <v>8350</v>
      </c>
    </row>
    <row r="12" spans="2:10" ht="26.45" customHeight="1">
      <c r="B12" s="587"/>
      <c r="C12" s="663"/>
      <c r="D12" s="592"/>
      <c r="E12" s="196" t="s">
        <v>9</v>
      </c>
      <c r="F12" s="197">
        <f>CEILING($F$9*(1+Наценки!F5), 100)</f>
        <v>13600</v>
      </c>
      <c r="G12" s="198">
        <f>CEILING(H12*(1+Наценки!$H$13), 50)</f>
        <v>7900</v>
      </c>
      <c r="H12" s="199">
        <f>CEILING(F12*(1-Наценки!$I$15), 50)</f>
        <v>8300</v>
      </c>
      <c r="I12" s="200">
        <f>CEILING(H12*(1+Наценки!$J$13), 50)</f>
        <v>8750</v>
      </c>
    </row>
    <row r="13" spans="2:10" ht="26.45" customHeight="1" thickBot="1">
      <c r="B13" s="588"/>
      <c r="C13" s="664"/>
      <c r="D13" s="593"/>
      <c r="E13" s="206" t="s">
        <v>10</v>
      </c>
      <c r="F13" s="207">
        <f>CEILING($F$9*(1+Наценки!F6), 100)</f>
        <v>14200</v>
      </c>
      <c r="G13" s="208">
        <f>CEILING(H13*(1+Наценки!$H$13), 50)</f>
        <v>8300</v>
      </c>
      <c r="H13" s="209">
        <f>CEILING(F13*(1-Наценки!$I$15), 50)</f>
        <v>8700</v>
      </c>
      <c r="I13" s="210">
        <f>CEILING(H13*(1+Наценки!$J$13), 50)</f>
        <v>9150</v>
      </c>
    </row>
    <row r="14" spans="2:10" ht="26.45" customHeight="1">
      <c r="B14" s="661" t="s">
        <v>141</v>
      </c>
      <c r="C14" s="662"/>
      <c r="D14" s="665" t="s">
        <v>305</v>
      </c>
      <c r="E14" s="211" t="s">
        <v>6</v>
      </c>
      <c r="F14" s="245">
        <f>CEILING((F9+2000)*(1+'!!!НАЦЕНКИ'!$B$4), 50)</f>
        <v>16300</v>
      </c>
      <c r="G14" s="92">
        <f>CEILING(H14*(1+Наценки!$H$13), 50)</f>
        <v>9500</v>
      </c>
      <c r="H14" s="93">
        <f>CEILING(F14*(1-Наценки!$I$15), 50)</f>
        <v>9950</v>
      </c>
      <c r="I14" s="94">
        <f>CEILING(H14*(1+Наценки!$J$13), 50)</f>
        <v>10450</v>
      </c>
    </row>
    <row r="15" spans="2:10" ht="26.45" customHeight="1">
      <c r="B15" s="587"/>
      <c r="C15" s="663"/>
      <c r="D15" s="666"/>
      <c r="E15" s="196" t="s">
        <v>7</v>
      </c>
      <c r="F15" s="197">
        <f>CEILING($F$14*(1+Наценки!F3), 100)</f>
        <v>17200</v>
      </c>
      <c r="G15" s="198">
        <f>CEILING(H15*(1+Наценки!$H$13), 50)</f>
        <v>10000</v>
      </c>
      <c r="H15" s="199">
        <f>CEILING(F15*(1-Наценки!$I$15), 50)</f>
        <v>10500</v>
      </c>
      <c r="I15" s="200">
        <f>CEILING(H15*(1+Наценки!$J$13), 50)</f>
        <v>11050</v>
      </c>
    </row>
    <row r="16" spans="2:10" ht="26.45" customHeight="1">
      <c r="B16" s="587"/>
      <c r="C16" s="663"/>
      <c r="D16" s="666"/>
      <c r="E16" s="201" t="s">
        <v>8</v>
      </c>
      <c r="F16" s="202">
        <f>CEILING($F$14*(1+Наценки!F4), 100)</f>
        <v>18000</v>
      </c>
      <c r="G16" s="203">
        <f>CEILING(H16*(1+Наценки!$H$13), 50)</f>
        <v>10450</v>
      </c>
      <c r="H16" s="204">
        <f>CEILING(F16*(1-Наценки!$I$15), 50)</f>
        <v>11000</v>
      </c>
      <c r="I16" s="205">
        <f>CEILING(H16*(1+Наценки!$J$13), 50)</f>
        <v>11550</v>
      </c>
    </row>
    <row r="17" spans="2:9" ht="26.45" customHeight="1">
      <c r="B17" s="587"/>
      <c r="C17" s="663"/>
      <c r="D17" s="666"/>
      <c r="E17" s="196" t="s">
        <v>9</v>
      </c>
      <c r="F17" s="197">
        <f>CEILING($F$14*(1+Наценки!F5), 100)</f>
        <v>18800</v>
      </c>
      <c r="G17" s="198">
        <f>CEILING(H17*(1+Наценки!$H$13), 50)</f>
        <v>10950</v>
      </c>
      <c r="H17" s="199">
        <f>CEILING(F17*(1-Наценки!$I$15), 50)</f>
        <v>11500</v>
      </c>
      <c r="I17" s="200">
        <f>CEILING(H17*(1+Наценки!$J$13), 50)</f>
        <v>12100</v>
      </c>
    </row>
    <row r="18" spans="2:9" ht="26.45" customHeight="1" thickBot="1">
      <c r="B18" s="588"/>
      <c r="C18" s="664"/>
      <c r="D18" s="667"/>
      <c r="E18" s="206" t="s">
        <v>10</v>
      </c>
      <c r="F18" s="207">
        <f>CEILING($F$14*(1+Наценки!F6), 100)</f>
        <v>19600</v>
      </c>
      <c r="G18" s="208">
        <f>CEILING(H18*(1+Наценки!$H$13), 50)</f>
        <v>11400</v>
      </c>
      <c r="H18" s="209">
        <f>CEILING(F18*(1-Наценки!$I$15), 50)</f>
        <v>12000</v>
      </c>
      <c r="I18" s="210">
        <f>CEILING(H18*(1+Наценки!$J$13), 50)</f>
        <v>12600</v>
      </c>
    </row>
    <row r="19" spans="2:9" ht="26.45" customHeight="1">
      <c r="B19" s="661" t="s">
        <v>273</v>
      </c>
      <c r="C19" s="662" t="s">
        <v>274</v>
      </c>
      <c r="D19" s="665" t="s">
        <v>306</v>
      </c>
      <c r="E19" s="211" t="s">
        <v>6</v>
      </c>
      <c r="F19" s="245">
        <f>CEILING((F9+1000)*(1+'!!!НАЦЕНКИ'!$B$4), 50)</f>
        <v>15150</v>
      </c>
      <c r="G19" s="92">
        <f>CEILING(H19*(1+Наценки!$H$13), 50)</f>
        <v>8800</v>
      </c>
      <c r="H19" s="93">
        <f>CEILING(F19*(1-Наценки!$I$15), 50)</f>
        <v>9250</v>
      </c>
      <c r="I19" s="94">
        <f>CEILING(H19*(1+Наценки!$J$13), 50)</f>
        <v>9750</v>
      </c>
    </row>
    <row r="20" spans="2:9" ht="26.45" customHeight="1">
      <c r="B20" s="587"/>
      <c r="C20" s="663"/>
      <c r="D20" s="666"/>
      <c r="E20" s="196" t="s">
        <v>7</v>
      </c>
      <c r="F20" s="197">
        <f>CEILING($F$19*(1+Наценки!F3), 100)</f>
        <v>16000</v>
      </c>
      <c r="G20" s="198">
        <f>CEILING(H20*(1+Наценки!$H$13), 50)</f>
        <v>9350</v>
      </c>
      <c r="H20" s="199">
        <f>CEILING(F20*(1-Наценки!$I$15), 50)</f>
        <v>9800</v>
      </c>
      <c r="I20" s="200">
        <f>CEILING(H20*(1+Наценки!$J$13), 50)</f>
        <v>10300</v>
      </c>
    </row>
    <row r="21" spans="2:9" ht="26.45" customHeight="1">
      <c r="B21" s="587"/>
      <c r="C21" s="663"/>
      <c r="D21" s="666"/>
      <c r="E21" s="201" t="s">
        <v>8</v>
      </c>
      <c r="F21" s="202">
        <f>CEILING($F$19*(1+Наценки!F4), 100)</f>
        <v>16700</v>
      </c>
      <c r="G21" s="203">
        <f>CEILING(H21*(1+Наценки!$H$13), 50)</f>
        <v>9700</v>
      </c>
      <c r="H21" s="204">
        <f>CEILING(F21*(1-Наценки!$I$15), 50)</f>
        <v>10200</v>
      </c>
      <c r="I21" s="205">
        <f>CEILING(H21*(1+Наценки!$J$13), 50)</f>
        <v>10750</v>
      </c>
    </row>
    <row r="22" spans="2:9" ht="26.45" customHeight="1">
      <c r="B22" s="587"/>
      <c r="C22" s="663"/>
      <c r="D22" s="666"/>
      <c r="E22" s="196" t="s">
        <v>9</v>
      </c>
      <c r="F22" s="197">
        <f>CEILING($F$19*(1+Наценки!F5), 100)</f>
        <v>17500</v>
      </c>
      <c r="G22" s="198">
        <f>CEILING(H22*(1+Наценки!$H$13), 50)</f>
        <v>10200</v>
      </c>
      <c r="H22" s="199">
        <f>CEILING(F22*(1-Наценки!$I$15), 50)</f>
        <v>10700</v>
      </c>
      <c r="I22" s="200">
        <f>CEILING(H22*(1+Наценки!$J$13), 50)</f>
        <v>11250</v>
      </c>
    </row>
    <row r="23" spans="2:9" ht="26.45" customHeight="1" thickBot="1">
      <c r="B23" s="588"/>
      <c r="C23" s="664"/>
      <c r="D23" s="667"/>
      <c r="E23" s="206" t="s">
        <v>10</v>
      </c>
      <c r="F23" s="207">
        <f>CEILING($F$19*(1+Наценки!F6), 100)</f>
        <v>18200</v>
      </c>
      <c r="G23" s="208">
        <f>CEILING(H23*(1+Наценки!$H$13), 50)</f>
        <v>10550</v>
      </c>
      <c r="H23" s="209">
        <f>CEILING(F23*(1-Наценки!$I$15), 50)</f>
        <v>11100</v>
      </c>
      <c r="I23" s="210">
        <f>CEILING(H23*(1+Наценки!$J$13), 50)</f>
        <v>11700</v>
      </c>
    </row>
    <row r="24" spans="2:9" ht="26.45" customHeight="1">
      <c r="B24" s="661" t="s">
        <v>275</v>
      </c>
      <c r="C24" s="662" t="s">
        <v>142</v>
      </c>
      <c r="D24" s="665" t="s">
        <v>306</v>
      </c>
      <c r="E24" s="211" t="s">
        <v>6</v>
      </c>
      <c r="F24" s="212">
        <f>F19</f>
        <v>15150</v>
      </c>
      <c r="G24" s="92">
        <f>CEILING(H24*(1+Наценки!$H$13), 50)</f>
        <v>8800</v>
      </c>
      <c r="H24" s="93">
        <f>CEILING(F24*(1-Наценки!$I$15), 50)</f>
        <v>9250</v>
      </c>
      <c r="I24" s="94">
        <f>CEILING(H24*(1+Наценки!$J$13), 50)</f>
        <v>9750</v>
      </c>
    </row>
    <row r="25" spans="2:9" ht="26.45" customHeight="1">
      <c r="B25" s="587"/>
      <c r="C25" s="663"/>
      <c r="D25" s="666"/>
      <c r="E25" s="196" t="s">
        <v>7</v>
      </c>
      <c r="F25" s="197">
        <f>CEILING($F$24*(1+Наценки!F3), 100)</f>
        <v>16000</v>
      </c>
      <c r="G25" s="198">
        <f>CEILING(H25*(1+Наценки!$H$13), 50)</f>
        <v>9350</v>
      </c>
      <c r="H25" s="199">
        <f>CEILING(F25*(1-Наценки!$I$15), 50)</f>
        <v>9800</v>
      </c>
      <c r="I25" s="200">
        <f>CEILING(H25*(1+Наценки!$J$13), 50)</f>
        <v>10300</v>
      </c>
    </row>
    <row r="26" spans="2:9" ht="26.45" customHeight="1">
      <c r="B26" s="587"/>
      <c r="C26" s="663"/>
      <c r="D26" s="666"/>
      <c r="E26" s="201" t="s">
        <v>8</v>
      </c>
      <c r="F26" s="202">
        <f>CEILING($F$24*(1+Наценки!F4), 100)</f>
        <v>16700</v>
      </c>
      <c r="G26" s="203">
        <f>CEILING(H26*(1+Наценки!$H$13), 50)</f>
        <v>9700</v>
      </c>
      <c r="H26" s="204">
        <f>CEILING(F26*(1-Наценки!$I$15), 50)</f>
        <v>10200</v>
      </c>
      <c r="I26" s="205">
        <f>CEILING(H26*(1+Наценки!$J$13), 50)</f>
        <v>10750</v>
      </c>
    </row>
    <row r="27" spans="2:9" ht="26.45" customHeight="1">
      <c r="B27" s="587"/>
      <c r="C27" s="663"/>
      <c r="D27" s="666"/>
      <c r="E27" s="196" t="s">
        <v>9</v>
      </c>
      <c r="F27" s="197">
        <f>CEILING($F$24*(1+Наценки!F5), 100)</f>
        <v>17500</v>
      </c>
      <c r="G27" s="198">
        <f>CEILING(H27*(1+Наценки!$H$13), 50)</f>
        <v>10200</v>
      </c>
      <c r="H27" s="199">
        <f>CEILING(F27*(1-Наценки!$I$15), 50)</f>
        <v>10700</v>
      </c>
      <c r="I27" s="200">
        <f>CEILING(H27*(1+Наценки!$J$13), 50)</f>
        <v>11250</v>
      </c>
    </row>
    <row r="28" spans="2:9" ht="26.45" customHeight="1" thickBot="1">
      <c r="B28" s="588"/>
      <c r="C28" s="664"/>
      <c r="D28" s="667"/>
      <c r="E28" s="206" t="s">
        <v>10</v>
      </c>
      <c r="F28" s="207">
        <f>CEILING($F$24*(1+Наценки!F6), 100)</f>
        <v>18200</v>
      </c>
      <c r="G28" s="208">
        <f>CEILING(H28*(1+Наценки!$H$13), 50)</f>
        <v>10550</v>
      </c>
      <c r="H28" s="209">
        <f>CEILING(F28*(1-Наценки!$I$15), 50)</f>
        <v>11100</v>
      </c>
      <c r="I28" s="210">
        <f>CEILING(H28*(1+Наценки!$J$13), 50)</f>
        <v>11700</v>
      </c>
    </row>
    <row r="29" spans="2:9" ht="26.45" customHeight="1">
      <c r="B29" s="661" t="s">
        <v>276</v>
      </c>
      <c r="C29" s="662" t="s">
        <v>277</v>
      </c>
      <c r="D29" s="665" t="s">
        <v>143</v>
      </c>
      <c r="E29" s="211" t="s">
        <v>6</v>
      </c>
      <c r="F29" s="212">
        <f>F19</f>
        <v>15150</v>
      </c>
      <c r="G29" s="92">
        <f>CEILING(H29*(1+Наценки!$H$13), 50)</f>
        <v>8800</v>
      </c>
      <c r="H29" s="93">
        <f>CEILING(F29*(1-Наценки!$I$15), 50)</f>
        <v>9250</v>
      </c>
      <c r="I29" s="94">
        <f>CEILING(H29*(1+Наценки!$J$13), 50)</f>
        <v>9750</v>
      </c>
    </row>
    <row r="30" spans="2:9" ht="26.45" customHeight="1">
      <c r="B30" s="587"/>
      <c r="C30" s="663"/>
      <c r="D30" s="666"/>
      <c r="E30" s="196" t="s">
        <v>7</v>
      </c>
      <c r="F30" s="197">
        <f>CEILING($F$24*(1+Наценки!F3), 100)</f>
        <v>16000</v>
      </c>
      <c r="G30" s="198">
        <f>CEILING(H30*(1+Наценки!$H$13), 50)</f>
        <v>9350</v>
      </c>
      <c r="H30" s="199">
        <f>CEILING(F30*(1-Наценки!$I$15), 50)</f>
        <v>9800</v>
      </c>
      <c r="I30" s="200">
        <f>CEILING(H30*(1+Наценки!$J$13), 50)</f>
        <v>10300</v>
      </c>
    </row>
    <row r="31" spans="2:9" ht="26.45" customHeight="1">
      <c r="B31" s="587"/>
      <c r="C31" s="663"/>
      <c r="D31" s="666"/>
      <c r="E31" s="201" t="s">
        <v>8</v>
      </c>
      <c r="F31" s="202">
        <f>CEILING($F$24*(1+Наценки!F4), 100)</f>
        <v>16700</v>
      </c>
      <c r="G31" s="203">
        <f>CEILING(H31*(1+Наценки!$H$13), 50)</f>
        <v>9700</v>
      </c>
      <c r="H31" s="204">
        <f>CEILING(F31*(1-Наценки!$I$15), 50)</f>
        <v>10200</v>
      </c>
      <c r="I31" s="205">
        <f>CEILING(H31*(1+Наценки!$J$13), 50)</f>
        <v>10750</v>
      </c>
    </row>
    <row r="32" spans="2:9" ht="26.45" customHeight="1">
      <c r="B32" s="587"/>
      <c r="C32" s="663"/>
      <c r="D32" s="666"/>
      <c r="E32" s="196" t="s">
        <v>9</v>
      </c>
      <c r="F32" s="197">
        <f>CEILING($F$24*(1+Наценки!F5), 100)</f>
        <v>17500</v>
      </c>
      <c r="G32" s="198">
        <f>CEILING(H32*(1+Наценки!$H$13), 50)</f>
        <v>10200</v>
      </c>
      <c r="H32" s="199">
        <f>CEILING(F32*(1-Наценки!$I$15), 50)</f>
        <v>10700</v>
      </c>
      <c r="I32" s="200">
        <f>CEILING(H32*(1+Наценки!$J$13), 50)</f>
        <v>11250</v>
      </c>
    </row>
    <row r="33" spans="2:9" ht="26.45" customHeight="1" thickBot="1">
      <c r="B33" s="588"/>
      <c r="C33" s="664"/>
      <c r="D33" s="667"/>
      <c r="E33" s="206" t="s">
        <v>10</v>
      </c>
      <c r="F33" s="207">
        <f>CEILING($F$24*(1+Наценки!F6), 100)</f>
        <v>18200</v>
      </c>
      <c r="G33" s="208">
        <f>CEILING(H33*(1+Наценки!$H$13), 50)</f>
        <v>10550</v>
      </c>
      <c r="H33" s="209">
        <f>CEILING(F33*(1-Наценки!$I$15), 50)</f>
        <v>11100</v>
      </c>
      <c r="I33" s="210">
        <f>CEILING(H33*(1+Наценки!$J$13), 50)</f>
        <v>11700</v>
      </c>
    </row>
    <row r="34" spans="2:9" s="47" customFormat="1" ht="12" customHeight="1">
      <c r="B34" s="49" t="s">
        <v>144</v>
      </c>
      <c r="C34" s="49"/>
      <c r="D34" s="50"/>
      <c r="E34" s="50"/>
      <c r="F34" s="51"/>
      <c r="G34" s="51"/>
      <c r="H34" s="52"/>
      <c r="I34" s="51"/>
    </row>
  </sheetData>
  <sheetProtection selectLockedCells="1" selectUnlockedCells="1"/>
  <mergeCells count="20">
    <mergeCell ref="E4:I4"/>
    <mergeCell ref="D5:I5"/>
    <mergeCell ref="B9:C13"/>
    <mergeCell ref="D9:D13"/>
    <mergeCell ref="D7:D8"/>
    <mergeCell ref="E7:E8"/>
    <mergeCell ref="F7:F8"/>
    <mergeCell ref="G7:I7"/>
    <mergeCell ref="B7:C8"/>
    <mergeCell ref="B29:B33"/>
    <mergeCell ref="C29:C33"/>
    <mergeCell ref="D29:D33"/>
    <mergeCell ref="B14:C18"/>
    <mergeCell ref="D14:D18"/>
    <mergeCell ref="B19:B23"/>
    <mergeCell ref="C19:C23"/>
    <mergeCell ref="D19:D23"/>
    <mergeCell ref="B24:B28"/>
    <mergeCell ref="C24:C28"/>
    <mergeCell ref="D24:D28"/>
  </mergeCells>
  <hyperlinks>
    <hyperlink ref="B6" location="Содержание!A1" display="Содержание"/>
  </hyperlinks>
  <pageMargins left="0.19652777777777777" right="0.19652777777777777" top="0.19652777777777777" bottom="0.19652777777777777" header="0.51180555555555551" footer="0.51180555555555551"/>
  <pageSetup paperSize="9" scale="98" firstPageNumber="0" orientation="portrait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C2:J34"/>
  <sheetViews>
    <sheetView view="pageBreakPreview" zoomScale="90" zoomScaleSheetLayoutView="90" workbookViewId="0">
      <selection activeCell="I6" sqref="I6"/>
    </sheetView>
  </sheetViews>
  <sheetFormatPr defaultColWidth="12.42578125" defaultRowHeight="11.25" outlineLevelCol="1"/>
  <cols>
    <col min="1" max="1" width="2" style="17" customWidth="1"/>
    <col min="2" max="2" width="2.42578125" style="17" customWidth="1"/>
    <col min="3" max="3" width="15.140625" style="17" customWidth="1"/>
    <col min="4" max="4" width="13.42578125" style="17" customWidth="1"/>
    <col min="5" max="5" width="15.42578125" style="17" customWidth="1"/>
    <col min="6" max="7" width="13.7109375" style="17" hidden="1" customWidth="1" outlineLevel="1"/>
    <col min="8" max="8" width="12.42578125" style="53" customWidth="1" collapsed="1"/>
    <col min="9" max="9" width="13.7109375" style="17" customWidth="1"/>
    <col min="10" max="10" width="2.140625" style="17" customWidth="1"/>
    <col min="11" max="16384" width="12.42578125" style="17"/>
  </cols>
  <sheetData>
    <row r="2" spans="3:10">
      <c r="D2" s="30"/>
      <c r="E2" s="31"/>
      <c r="F2" s="30"/>
      <c r="G2" s="30"/>
      <c r="H2" s="32"/>
      <c r="I2" s="30"/>
    </row>
    <row r="3" spans="3:10" ht="12">
      <c r="D3" s="30"/>
      <c r="E3" s="33"/>
      <c r="F3" s="34"/>
      <c r="G3" s="34"/>
      <c r="H3" s="35"/>
      <c r="I3" s="34"/>
    </row>
    <row r="4" spans="3:10" ht="12.75" customHeight="1">
      <c r="D4" s="30"/>
      <c r="E4" s="555"/>
      <c r="F4" s="555"/>
      <c r="G4" s="555"/>
      <c r="H4" s="555"/>
      <c r="I4" s="555"/>
    </row>
    <row r="5" spans="3:10" ht="12.75" customHeight="1">
      <c r="D5" s="556"/>
      <c r="E5" s="556"/>
      <c r="F5" s="556"/>
      <c r="G5" s="556"/>
      <c r="H5" s="556"/>
      <c r="I5" s="556"/>
    </row>
    <row r="6" spans="3:10" ht="20.25">
      <c r="C6" s="7" t="s">
        <v>0</v>
      </c>
      <c r="E6" s="519"/>
      <c r="F6" s="519"/>
      <c r="G6" s="519"/>
      <c r="H6" s="519"/>
      <c r="I6" s="485">
        <f>Содержание!D1</f>
        <v>44697</v>
      </c>
    </row>
    <row r="7" spans="3:10" s="37" customFormat="1" ht="20.100000000000001" customHeight="1">
      <c r="C7" s="546" t="s">
        <v>1</v>
      </c>
      <c r="D7" s="546" t="s">
        <v>2</v>
      </c>
      <c r="E7" s="546" t="s">
        <v>3</v>
      </c>
      <c r="F7" s="553" t="s">
        <v>186</v>
      </c>
      <c r="G7" s="554" t="s">
        <v>187</v>
      </c>
      <c r="H7" s="554"/>
      <c r="I7" s="554"/>
      <c r="J7" s="77"/>
    </row>
    <row r="8" spans="3:10" s="37" customFormat="1" ht="20.100000000000001" customHeight="1">
      <c r="C8" s="546"/>
      <c r="D8" s="546"/>
      <c r="E8" s="546"/>
      <c r="F8" s="553"/>
      <c r="G8" s="176" t="s">
        <v>189</v>
      </c>
      <c r="H8" s="177" t="s">
        <v>190</v>
      </c>
      <c r="I8" s="176" t="s">
        <v>191</v>
      </c>
      <c r="J8" s="77"/>
    </row>
    <row r="9" spans="3:10" ht="26.45" customHeight="1">
      <c r="C9" s="678" t="s">
        <v>278</v>
      </c>
      <c r="D9" s="679"/>
      <c r="E9" s="213" t="s">
        <v>6</v>
      </c>
      <c r="F9" s="245">
        <f>CEILING(12800*(1+'!!!НАЦЕНКИ'!$B$4), 50)</f>
        <v>15150</v>
      </c>
      <c r="G9" s="214">
        <f>CEILING(H9*(1+Наценки!$H$13), 50)</f>
        <v>8800</v>
      </c>
      <c r="H9" s="215">
        <f>CEILING(F9*(1-Наценки!$I$15), 50)</f>
        <v>9250</v>
      </c>
      <c r="I9" s="216">
        <f>CEILING(H9*(1+Наценки!$J$13), 50)</f>
        <v>9750</v>
      </c>
    </row>
    <row r="10" spans="3:10" ht="26.45" customHeight="1">
      <c r="C10" s="641"/>
      <c r="D10" s="676"/>
      <c r="E10" s="217" t="s">
        <v>7</v>
      </c>
      <c r="F10" s="197">
        <f>CEILING($F$9*(1+Наценки!F3), 100)</f>
        <v>16000</v>
      </c>
      <c r="G10" s="198">
        <f>CEILING(H10*(1+Наценки!$H$13), 50)</f>
        <v>9350</v>
      </c>
      <c r="H10" s="199">
        <f>CEILING(F10*(1-Наценки!$I$15), 50)</f>
        <v>9800</v>
      </c>
      <c r="I10" s="200">
        <f>CEILING(H10*(1+Наценки!$J$13), 50)</f>
        <v>10300</v>
      </c>
    </row>
    <row r="11" spans="3:10" ht="26.45" customHeight="1">
      <c r="C11" s="641"/>
      <c r="D11" s="676"/>
      <c r="E11" s="218" t="s">
        <v>8</v>
      </c>
      <c r="F11" s="202">
        <f>CEILING($F$9*(1+Наценки!F4), 100)</f>
        <v>16700</v>
      </c>
      <c r="G11" s="203">
        <f>CEILING(H11*(1+Наценки!$H$13), 50)</f>
        <v>9700</v>
      </c>
      <c r="H11" s="204">
        <f>CEILING(F11*(1-Наценки!$I$15), 50)</f>
        <v>10200</v>
      </c>
      <c r="I11" s="205">
        <f>CEILING(H11*(1+Наценки!$J$13), 50)</f>
        <v>10750</v>
      </c>
    </row>
    <row r="12" spans="3:10" ht="26.45" customHeight="1">
      <c r="C12" s="641"/>
      <c r="D12" s="676"/>
      <c r="E12" s="217" t="s">
        <v>9</v>
      </c>
      <c r="F12" s="197">
        <f>CEILING($F$9*(1+Наценки!F5), 100)</f>
        <v>17500</v>
      </c>
      <c r="G12" s="198">
        <f>CEILING(H12*(1+Наценки!$H$13), 50)</f>
        <v>10200</v>
      </c>
      <c r="H12" s="199">
        <f>CEILING(F12*(1-Наценки!$I$15), 50)</f>
        <v>10700</v>
      </c>
      <c r="I12" s="200">
        <f>CEILING(H12*(1+Наценки!$J$13), 50)</f>
        <v>11250</v>
      </c>
    </row>
    <row r="13" spans="3:10" ht="26.45" customHeight="1" thickBot="1">
      <c r="C13" s="642"/>
      <c r="D13" s="677"/>
      <c r="E13" s="219" t="s">
        <v>10</v>
      </c>
      <c r="F13" s="207">
        <f>CEILING($F$9*(1+Наценки!F6), 100)</f>
        <v>18200</v>
      </c>
      <c r="G13" s="208">
        <f>CEILING(H13*(1+Наценки!$H$13), 50)</f>
        <v>10550</v>
      </c>
      <c r="H13" s="209">
        <f>CEILING(F13*(1-Наценки!$I$15), 50)</f>
        <v>11100</v>
      </c>
      <c r="I13" s="210">
        <f>CEILING(H13*(1+Наценки!$J$13), 50)</f>
        <v>11700</v>
      </c>
    </row>
    <row r="14" spans="3:10" ht="26.45" customHeight="1">
      <c r="C14" s="674" t="s">
        <v>279</v>
      </c>
      <c r="D14" s="665" t="s">
        <v>305</v>
      </c>
      <c r="E14" s="221" t="s">
        <v>6</v>
      </c>
      <c r="F14" s="245">
        <f>CEILING(13100*(1+'!!!НАЦЕНКИ'!$B$4), 50)</f>
        <v>15500</v>
      </c>
      <c r="G14" s="92">
        <f>CEILING(H14*(1+Наценки!$H$13), 50)</f>
        <v>9050</v>
      </c>
      <c r="H14" s="93">
        <f>CEILING(F14*(1-Наценки!$I$15), 50)</f>
        <v>9500</v>
      </c>
      <c r="I14" s="94">
        <f>CEILING(H14*(1+Наценки!$J$13), 50)</f>
        <v>10000</v>
      </c>
    </row>
    <row r="15" spans="3:10" ht="26.45" customHeight="1">
      <c r="C15" s="641"/>
      <c r="D15" s="666"/>
      <c r="E15" s="217" t="s">
        <v>7</v>
      </c>
      <c r="F15" s="197">
        <f>CEILING($F$14*(1+Наценки!F3), 100)</f>
        <v>16300</v>
      </c>
      <c r="G15" s="198">
        <f>CEILING(H15*(1+Наценки!$H$13), 50)</f>
        <v>9500</v>
      </c>
      <c r="H15" s="199">
        <f>CEILING(F15*(1-Наценки!$I$15), 50)</f>
        <v>9950</v>
      </c>
      <c r="I15" s="200">
        <f>CEILING(H15*(1+Наценки!$J$13), 50)</f>
        <v>10450</v>
      </c>
    </row>
    <row r="16" spans="3:10" ht="26.45" customHeight="1">
      <c r="C16" s="641"/>
      <c r="D16" s="666"/>
      <c r="E16" s="218" t="s">
        <v>8</v>
      </c>
      <c r="F16" s="202">
        <f>CEILING($F$14*(1+Наценки!F4), 100)</f>
        <v>17100</v>
      </c>
      <c r="G16" s="203">
        <f>CEILING(H16*(1+Наценки!$H$13), 50)</f>
        <v>9950</v>
      </c>
      <c r="H16" s="204">
        <f>CEILING(F16*(1-Наценки!$I$15), 50)</f>
        <v>10450</v>
      </c>
      <c r="I16" s="205">
        <f>CEILING(H16*(1+Наценки!$J$13), 50)</f>
        <v>11000</v>
      </c>
    </row>
    <row r="17" spans="3:9" ht="26.45" customHeight="1">
      <c r="C17" s="641"/>
      <c r="D17" s="666"/>
      <c r="E17" s="217" t="s">
        <v>9</v>
      </c>
      <c r="F17" s="197">
        <f>CEILING($F$14*(1+Наценки!F5), 100)</f>
        <v>17900</v>
      </c>
      <c r="G17" s="198">
        <f>CEILING(H17*(1+Наценки!$H$13), 50)</f>
        <v>10450</v>
      </c>
      <c r="H17" s="199">
        <f>CEILING(F17*(1-Наценки!$I$15), 50)</f>
        <v>10950</v>
      </c>
      <c r="I17" s="200">
        <f>CEILING(H17*(1+Наценки!$J$13), 50)</f>
        <v>11500</v>
      </c>
    </row>
    <row r="18" spans="3:9" ht="26.45" customHeight="1" thickBot="1">
      <c r="C18" s="642"/>
      <c r="D18" s="667"/>
      <c r="E18" s="219" t="s">
        <v>10</v>
      </c>
      <c r="F18" s="207">
        <f>CEILING($F$14*(1+Наценки!F6), 100)</f>
        <v>18600</v>
      </c>
      <c r="G18" s="208">
        <f>CEILING(H18*(1+Наценки!$H$13), 50)</f>
        <v>10800</v>
      </c>
      <c r="H18" s="209">
        <f>CEILING(F18*(1-Наценки!$I$15), 50)</f>
        <v>11350</v>
      </c>
      <c r="I18" s="210">
        <f>CEILING(H18*(1+Наценки!$J$13), 50)</f>
        <v>11950</v>
      </c>
    </row>
    <row r="19" spans="3:9" ht="26.45" customHeight="1">
      <c r="C19" s="674" t="s">
        <v>280</v>
      </c>
      <c r="D19" s="675" t="s">
        <v>145</v>
      </c>
      <c r="E19" s="221" t="s">
        <v>6</v>
      </c>
      <c r="F19" s="212">
        <f>F9</f>
        <v>15150</v>
      </c>
      <c r="G19" s="92">
        <f>CEILING(H19*(1+Наценки!$H$13), 50)</f>
        <v>8800</v>
      </c>
      <c r="H19" s="93">
        <f>CEILING(F19*(1-Наценки!$I$15), 50)</f>
        <v>9250</v>
      </c>
      <c r="I19" s="94">
        <f>CEILING(H19*(1+Наценки!$J$13), 50)</f>
        <v>9750</v>
      </c>
    </row>
    <row r="20" spans="3:9" ht="26.45" customHeight="1">
      <c r="C20" s="641"/>
      <c r="D20" s="676"/>
      <c r="E20" s="217" t="s">
        <v>7</v>
      </c>
      <c r="F20" s="197">
        <f>CEILING($F$19*(1+Наценки!F3), 100)</f>
        <v>16000</v>
      </c>
      <c r="G20" s="198">
        <f>CEILING(H20*(1+Наценки!$H$13), 50)</f>
        <v>9350</v>
      </c>
      <c r="H20" s="199">
        <f>CEILING(F20*(1-Наценки!$I$15), 50)</f>
        <v>9800</v>
      </c>
      <c r="I20" s="200">
        <f>CEILING(H20*(1+Наценки!$J$13), 50)</f>
        <v>10300</v>
      </c>
    </row>
    <row r="21" spans="3:9" ht="26.45" customHeight="1">
      <c r="C21" s="641"/>
      <c r="D21" s="676"/>
      <c r="E21" s="218" t="s">
        <v>8</v>
      </c>
      <c r="F21" s="202">
        <f>CEILING($F$19*(1+Наценки!F4), 100)</f>
        <v>16700</v>
      </c>
      <c r="G21" s="203">
        <f>CEILING(H21*(1+Наценки!$H$13), 50)</f>
        <v>9700</v>
      </c>
      <c r="H21" s="204">
        <f>CEILING(F21*(1-Наценки!$I$15), 50)</f>
        <v>10200</v>
      </c>
      <c r="I21" s="205">
        <f>CEILING(H21*(1+Наценки!$J$13), 50)</f>
        <v>10750</v>
      </c>
    </row>
    <row r="22" spans="3:9" ht="26.45" customHeight="1">
      <c r="C22" s="641"/>
      <c r="D22" s="676"/>
      <c r="E22" s="217" t="s">
        <v>9</v>
      </c>
      <c r="F22" s="197">
        <f>CEILING($F$19*(1+Наценки!F5), 100)</f>
        <v>17500</v>
      </c>
      <c r="G22" s="198">
        <f>CEILING(H22*(1+Наценки!$H$13), 50)</f>
        <v>10200</v>
      </c>
      <c r="H22" s="199">
        <f>CEILING(F22*(1-Наценки!$I$15), 50)</f>
        <v>10700</v>
      </c>
      <c r="I22" s="200">
        <f>CEILING(H22*(1+Наценки!$J$13), 50)</f>
        <v>11250</v>
      </c>
    </row>
    <row r="23" spans="3:9" ht="26.45" customHeight="1" thickBot="1">
      <c r="C23" s="642"/>
      <c r="D23" s="677"/>
      <c r="E23" s="219" t="s">
        <v>10</v>
      </c>
      <c r="F23" s="207">
        <f>CEILING($F$19*(1+Наценки!F6), 100)</f>
        <v>18200</v>
      </c>
      <c r="G23" s="208">
        <f>CEILING(H23*(1+Наценки!$H$13), 50)</f>
        <v>10550</v>
      </c>
      <c r="H23" s="209">
        <f>CEILING(F23*(1-Наценки!$I$15), 50)</f>
        <v>11100</v>
      </c>
      <c r="I23" s="210">
        <f>CEILING(H23*(1+Наценки!$J$13), 50)</f>
        <v>11700</v>
      </c>
    </row>
    <row r="24" spans="3:9" ht="26.45" customHeight="1">
      <c r="C24" s="674" t="s">
        <v>281</v>
      </c>
      <c r="D24" s="665" t="s">
        <v>146</v>
      </c>
      <c r="E24" s="221" t="s">
        <v>6</v>
      </c>
      <c r="F24" s="212">
        <f>F19</f>
        <v>15150</v>
      </c>
      <c r="G24" s="92">
        <f>CEILING(H24*(1+Наценки!$H$13), 50)</f>
        <v>8800</v>
      </c>
      <c r="H24" s="93">
        <f>CEILING(F24*(1-Наценки!$I$15), 50)</f>
        <v>9250</v>
      </c>
      <c r="I24" s="94">
        <f>CEILING(H24*(1+Наценки!$J$13), 50)</f>
        <v>9750</v>
      </c>
    </row>
    <row r="25" spans="3:9" ht="26.45" customHeight="1">
      <c r="C25" s="641"/>
      <c r="D25" s="666"/>
      <c r="E25" s="217" t="s">
        <v>7</v>
      </c>
      <c r="F25" s="197">
        <f>CEILING($F$24*(1+Наценки!F3), 100)</f>
        <v>16000</v>
      </c>
      <c r="G25" s="198">
        <f>CEILING(H25*(1+Наценки!$H$13), 50)</f>
        <v>9350</v>
      </c>
      <c r="H25" s="199">
        <f>CEILING(F25*(1-Наценки!$I$15), 50)</f>
        <v>9800</v>
      </c>
      <c r="I25" s="200">
        <f>CEILING(H25*(1+Наценки!$J$13), 50)</f>
        <v>10300</v>
      </c>
    </row>
    <row r="26" spans="3:9" ht="26.45" customHeight="1">
      <c r="C26" s="641"/>
      <c r="D26" s="666"/>
      <c r="E26" s="218" t="s">
        <v>8</v>
      </c>
      <c r="F26" s="202">
        <f>CEILING($F$24*(1+Наценки!F4), 100)</f>
        <v>16700</v>
      </c>
      <c r="G26" s="203">
        <f>CEILING(H26*(1+Наценки!$H$13), 50)</f>
        <v>9700</v>
      </c>
      <c r="H26" s="204">
        <f>CEILING(F26*(1-Наценки!$I$15), 50)</f>
        <v>10200</v>
      </c>
      <c r="I26" s="205">
        <f>CEILING(H26*(1+Наценки!$J$13), 50)</f>
        <v>10750</v>
      </c>
    </row>
    <row r="27" spans="3:9" ht="26.45" customHeight="1">
      <c r="C27" s="641"/>
      <c r="D27" s="666"/>
      <c r="E27" s="217" t="s">
        <v>9</v>
      </c>
      <c r="F27" s="197">
        <f>CEILING($F$24*(1+Наценки!F5), 100)</f>
        <v>17500</v>
      </c>
      <c r="G27" s="198">
        <f>CEILING(H27*(1+Наценки!$H$13), 50)</f>
        <v>10200</v>
      </c>
      <c r="H27" s="199">
        <f>CEILING(F27*(1-Наценки!$I$15), 50)</f>
        <v>10700</v>
      </c>
      <c r="I27" s="200">
        <f>CEILING(H27*(1+Наценки!$J$13), 50)</f>
        <v>11250</v>
      </c>
    </row>
    <row r="28" spans="3:9" ht="26.45" customHeight="1" thickBot="1">
      <c r="C28" s="642"/>
      <c r="D28" s="667"/>
      <c r="E28" s="219" t="s">
        <v>10</v>
      </c>
      <c r="F28" s="207">
        <f>CEILING($F$24*(1+Наценки!F6), 100)</f>
        <v>18200</v>
      </c>
      <c r="G28" s="208">
        <f>CEILING(H28*(1+Наценки!$H$13), 50)</f>
        <v>10550</v>
      </c>
      <c r="H28" s="209">
        <f>CEILING(F28*(1-Наценки!$I$15), 50)</f>
        <v>11100</v>
      </c>
      <c r="I28" s="210">
        <f>CEILING(H28*(1+Наценки!$J$13), 50)</f>
        <v>11700</v>
      </c>
    </row>
    <row r="29" spans="3:9" ht="26.45" customHeight="1">
      <c r="C29" s="674" t="s">
        <v>282</v>
      </c>
      <c r="D29" s="665" t="s">
        <v>306</v>
      </c>
      <c r="E29" s="221" t="s">
        <v>6</v>
      </c>
      <c r="F29" s="212">
        <f>F19</f>
        <v>15150</v>
      </c>
      <c r="G29" s="92">
        <f>CEILING(H29*(1+Наценки!$H$13), 50)</f>
        <v>8800</v>
      </c>
      <c r="H29" s="93">
        <f>CEILING(F29*(1-Наценки!$I$15), 50)</f>
        <v>9250</v>
      </c>
      <c r="I29" s="94">
        <f>CEILING(H29*(1+Наценки!$J$13), 50)</f>
        <v>9750</v>
      </c>
    </row>
    <row r="30" spans="3:9" ht="26.45" customHeight="1">
      <c r="C30" s="641"/>
      <c r="D30" s="666"/>
      <c r="E30" s="217" t="s">
        <v>7</v>
      </c>
      <c r="F30" s="197">
        <f>CEILING($F$24*(1+Наценки!F3), 100)</f>
        <v>16000</v>
      </c>
      <c r="G30" s="198">
        <f>CEILING(H30*(1+Наценки!$H$13), 50)</f>
        <v>9350</v>
      </c>
      <c r="H30" s="199">
        <f>CEILING(F30*(1-Наценки!$I$15), 50)</f>
        <v>9800</v>
      </c>
      <c r="I30" s="200">
        <f>CEILING(H30*(1+Наценки!$J$13), 50)</f>
        <v>10300</v>
      </c>
    </row>
    <row r="31" spans="3:9" ht="26.45" customHeight="1">
      <c r="C31" s="641"/>
      <c r="D31" s="666"/>
      <c r="E31" s="218" t="s">
        <v>8</v>
      </c>
      <c r="F31" s="202">
        <f>CEILING($F$24*(1+Наценки!F4), 100)</f>
        <v>16700</v>
      </c>
      <c r="G31" s="203">
        <f>CEILING(H31*(1+Наценки!$H$13), 50)</f>
        <v>9700</v>
      </c>
      <c r="H31" s="204">
        <f>CEILING(F31*(1-Наценки!$I$15), 50)</f>
        <v>10200</v>
      </c>
      <c r="I31" s="205">
        <f>CEILING(H31*(1+Наценки!$J$13), 50)</f>
        <v>10750</v>
      </c>
    </row>
    <row r="32" spans="3:9" ht="26.45" customHeight="1">
      <c r="C32" s="641"/>
      <c r="D32" s="666"/>
      <c r="E32" s="217" t="s">
        <v>9</v>
      </c>
      <c r="F32" s="197">
        <f>CEILING($F$24*(1+Наценки!F5), 100)</f>
        <v>17500</v>
      </c>
      <c r="G32" s="198">
        <f>CEILING(H32*(1+Наценки!$H$13), 50)</f>
        <v>10200</v>
      </c>
      <c r="H32" s="199">
        <f>CEILING(F32*(1-Наценки!$I$15), 50)</f>
        <v>10700</v>
      </c>
      <c r="I32" s="200">
        <f>CEILING(H32*(1+Наценки!$J$13), 50)</f>
        <v>11250</v>
      </c>
    </row>
    <row r="33" spans="3:9" ht="26.45" customHeight="1" thickBot="1">
      <c r="C33" s="642"/>
      <c r="D33" s="667"/>
      <c r="E33" s="219" t="s">
        <v>10</v>
      </c>
      <c r="F33" s="202">
        <f>CEILING($F$24*(1+Наценки!F6), 100)</f>
        <v>18200</v>
      </c>
      <c r="G33" s="203">
        <f>CEILING(H33*(1+Наценки!$H$13), 50)</f>
        <v>10550</v>
      </c>
      <c r="H33" s="204">
        <f>CEILING(F33*(1-Наценки!$I$15), 50)</f>
        <v>11100</v>
      </c>
      <c r="I33" s="205">
        <f>CEILING(H33*(1+Наценки!$J$13), 50)</f>
        <v>11700</v>
      </c>
    </row>
    <row r="34" spans="3:9" s="47" customFormat="1" ht="12" customHeight="1">
      <c r="C34" s="49" t="s">
        <v>147</v>
      </c>
      <c r="D34" s="50"/>
      <c r="E34" s="50"/>
      <c r="F34" s="51"/>
      <c r="G34" s="51"/>
      <c r="H34" s="52"/>
      <c r="I34" s="51"/>
    </row>
  </sheetData>
  <sheetProtection selectLockedCells="1" selectUnlockedCells="1"/>
  <mergeCells count="17">
    <mergeCell ref="C14:C18"/>
    <mergeCell ref="D14:D18"/>
    <mergeCell ref="E4:I4"/>
    <mergeCell ref="D5:I5"/>
    <mergeCell ref="C9:C13"/>
    <mergeCell ref="D9:D13"/>
    <mergeCell ref="C7:C8"/>
    <mergeCell ref="D7:D8"/>
    <mergeCell ref="E7:E8"/>
    <mergeCell ref="F7:F8"/>
    <mergeCell ref="G7:I7"/>
    <mergeCell ref="C19:C23"/>
    <mergeCell ref="D19:D23"/>
    <mergeCell ref="C24:C28"/>
    <mergeCell ref="D24:D28"/>
    <mergeCell ref="C29:C33"/>
    <mergeCell ref="D29:D33"/>
  </mergeCells>
  <hyperlinks>
    <hyperlink ref="C6" location="Содержание!A1" display="Содержание"/>
  </hyperlinks>
  <pageMargins left="0.19652777777777777" right="0.19652777777777777" top="0.19652777777777777" bottom="0.19652777777777777" header="0.51180555555555551" footer="0.51180555555555551"/>
  <pageSetup paperSize="9" scale="96" firstPageNumber="0" orientation="portrait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I29"/>
  <sheetViews>
    <sheetView view="pageBreakPreview" zoomScale="96" zoomScaleNormal="100" zoomScaleSheetLayoutView="96" workbookViewId="0">
      <selection activeCell="I6" sqref="I6"/>
    </sheetView>
  </sheetViews>
  <sheetFormatPr defaultColWidth="12.42578125" defaultRowHeight="15" outlineLevelCol="1"/>
  <cols>
    <col min="1" max="1" width="3" customWidth="1"/>
    <col min="2" max="2" width="15.140625" customWidth="1"/>
    <col min="3" max="3" width="2.42578125" customWidth="1"/>
    <col min="4" max="4" width="13.42578125" customWidth="1"/>
    <col min="5" max="5" width="15.42578125" customWidth="1"/>
    <col min="6" max="6" width="9.28515625" hidden="1" customWidth="1" outlineLevel="1"/>
    <col min="7" max="7" width="10.28515625" hidden="1" customWidth="1" outlineLevel="1"/>
    <col min="8" max="8" width="10.28515625" style="12" customWidth="1" collapsed="1"/>
    <col min="9" max="9" width="10.28515625" customWidth="1"/>
    <col min="10" max="10" width="2.140625" customWidth="1"/>
  </cols>
  <sheetData>
    <row r="4" spans="2:9">
      <c r="D4" s="1"/>
      <c r="E4" s="682"/>
      <c r="F4" s="682"/>
      <c r="G4" s="682"/>
      <c r="H4" s="682"/>
      <c r="I4" s="682"/>
    </row>
    <row r="5" spans="2:9">
      <c r="D5" s="683"/>
      <c r="E5" s="683"/>
      <c r="F5" s="683"/>
      <c r="G5" s="683"/>
      <c r="H5" s="683"/>
      <c r="I5" s="683"/>
    </row>
    <row r="6" spans="2:9" ht="15" customHeight="1">
      <c r="B6" s="7" t="s">
        <v>0</v>
      </c>
      <c r="E6" s="520"/>
      <c r="F6" s="520"/>
      <c r="G6" s="520"/>
      <c r="H6" s="520"/>
      <c r="I6" s="485">
        <f>Содержание!D1</f>
        <v>44697</v>
      </c>
    </row>
    <row r="7" spans="2:9" ht="20.100000000000001" customHeight="1">
      <c r="B7" s="680" t="s">
        <v>1</v>
      </c>
      <c r="C7" s="680" t="s">
        <v>2</v>
      </c>
      <c r="D7" s="680"/>
      <c r="E7" s="546" t="s">
        <v>3</v>
      </c>
      <c r="F7" s="553" t="s">
        <v>186</v>
      </c>
      <c r="G7" s="554" t="s">
        <v>187</v>
      </c>
      <c r="H7" s="554"/>
      <c r="I7" s="554"/>
    </row>
    <row r="8" spans="2:9" s="8" customFormat="1" ht="20.100000000000001" customHeight="1">
      <c r="B8" s="680"/>
      <c r="C8" s="680"/>
      <c r="D8" s="681"/>
      <c r="E8" s="546"/>
      <c r="F8" s="553"/>
      <c r="G8" s="176" t="s">
        <v>189</v>
      </c>
      <c r="H8" s="177" t="s">
        <v>190</v>
      </c>
      <c r="I8" s="176" t="s">
        <v>191</v>
      </c>
    </row>
    <row r="9" spans="2:9" ht="26.45" customHeight="1">
      <c r="B9" s="684" t="s">
        <v>300</v>
      </c>
      <c r="C9" s="687" t="s">
        <v>148</v>
      </c>
      <c r="D9" s="689" t="s">
        <v>305</v>
      </c>
      <c r="E9" s="222" t="s">
        <v>6</v>
      </c>
      <c r="F9" s="245">
        <f>CEILING(17500*(1+'!!!НАЦЕНКИ'!$B$4), 50)</f>
        <v>20650</v>
      </c>
      <c r="G9" s="193">
        <f>CEILING(H9*(1+Наценки!$H$13), 50)</f>
        <v>12000</v>
      </c>
      <c r="H9" s="194">
        <f>CEILING(F9*(1-Наценки!$I$15), 50)</f>
        <v>12600</v>
      </c>
      <c r="I9" s="195">
        <f>CEILING(H9*(1+Наценки!$J$13), 50)</f>
        <v>13250</v>
      </c>
    </row>
    <row r="10" spans="2:9" ht="26.45" customHeight="1">
      <c r="B10" s="685"/>
      <c r="C10" s="688"/>
      <c r="D10" s="690"/>
      <c r="E10" s="223" t="s">
        <v>7</v>
      </c>
      <c r="F10" s="197">
        <f>CEILING($F$9*(1+Наценки!F3), 100)</f>
        <v>21700</v>
      </c>
      <c r="G10" s="198">
        <f>CEILING(H10*(1+Наценки!$H$13), 50)</f>
        <v>12600</v>
      </c>
      <c r="H10" s="199">
        <f>CEILING(F10*(1-Наценки!$I$15), 50)</f>
        <v>13250</v>
      </c>
      <c r="I10" s="200">
        <f>CEILING(H10*(1+Наценки!$J$13), 50)</f>
        <v>13950</v>
      </c>
    </row>
    <row r="11" spans="2:9" ht="26.45" customHeight="1">
      <c r="B11" s="685"/>
      <c r="C11" s="688"/>
      <c r="D11" s="690"/>
      <c r="E11" s="224" t="s">
        <v>8</v>
      </c>
      <c r="F11" s="202">
        <f>CEILING($F$9*(1+Наценки!F4), 100)</f>
        <v>22800</v>
      </c>
      <c r="G11" s="203">
        <f>CEILING(H11*(1+Наценки!$H$13), 50)</f>
        <v>13300</v>
      </c>
      <c r="H11" s="204">
        <f>CEILING(F11*(1-Наценки!$I$15), 50)</f>
        <v>13950</v>
      </c>
      <c r="I11" s="205">
        <f>CEILING(H11*(1+Наценки!$J$13), 50)</f>
        <v>14650</v>
      </c>
    </row>
    <row r="12" spans="2:9" ht="26.45" customHeight="1">
      <c r="B12" s="685"/>
      <c r="C12" s="688"/>
      <c r="D12" s="690"/>
      <c r="E12" s="223" t="s">
        <v>9</v>
      </c>
      <c r="F12" s="197">
        <f>CEILING($F$9*(1+Наценки!F5), 100)</f>
        <v>23800</v>
      </c>
      <c r="G12" s="198">
        <f>CEILING(H12*(1+Наценки!$H$13), 50)</f>
        <v>13850</v>
      </c>
      <c r="H12" s="199">
        <f>CEILING(F12*(1-Наценки!$I$15), 50)</f>
        <v>14550</v>
      </c>
      <c r="I12" s="200">
        <f>CEILING(H12*(1+Наценки!$J$13), 50)</f>
        <v>15300</v>
      </c>
    </row>
    <row r="13" spans="2:9" ht="26.45" customHeight="1" thickBot="1">
      <c r="B13" s="685"/>
      <c r="C13" s="688"/>
      <c r="D13" s="691"/>
      <c r="E13" s="224" t="s">
        <v>10</v>
      </c>
      <c r="F13" s="207">
        <f>CEILING($F$9*(1+Наценки!F6), 100)</f>
        <v>24800</v>
      </c>
      <c r="G13" s="208">
        <f>CEILING(H13*(1+Наценки!$H$13), 50)</f>
        <v>14400</v>
      </c>
      <c r="H13" s="209">
        <f>CEILING(F13*(1-Наценки!$I$15), 50)</f>
        <v>15150</v>
      </c>
      <c r="I13" s="210">
        <f>CEILING(H13*(1+Наценки!$J$13), 50)</f>
        <v>15950</v>
      </c>
    </row>
    <row r="14" spans="2:9" ht="26.45" customHeight="1">
      <c r="B14" s="685"/>
      <c r="C14" s="688"/>
      <c r="D14" s="690" t="s">
        <v>149</v>
      </c>
      <c r="E14" s="130" t="s">
        <v>6</v>
      </c>
      <c r="F14" s="245">
        <f>CEILING((F9+1000)*(1+'!!!НАЦЕНКИ'!$B$4), 50)</f>
        <v>25550</v>
      </c>
      <c r="G14" s="92">
        <f>CEILING(H14*(1+Наценки!$H$13), 50)</f>
        <v>14850</v>
      </c>
      <c r="H14" s="93">
        <f>CEILING(F14*(1-Наценки!$I$15), 50)</f>
        <v>15600</v>
      </c>
      <c r="I14" s="94">
        <f>CEILING(H14*(1+Наценки!$J$13), 50)</f>
        <v>16400</v>
      </c>
    </row>
    <row r="15" spans="2:9" ht="26.45" customHeight="1">
      <c r="B15" s="685"/>
      <c r="C15" s="688"/>
      <c r="D15" s="690"/>
      <c r="E15" s="223" t="s">
        <v>7</v>
      </c>
      <c r="F15" s="197">
        <f>CEILING($F$14*(1+Наценки!F3), 100)</f>
        <v>26900</v>
      </c>
      <c r="G15" s="198">
        <f>CEILING(H15*(1+Наценки!$H$13), 50)</f>
        <v>15650</v>
      </c>
      <c r="H15" s="199">
        <f>CEILING(F15*(1-Наценки!$I$15), 50)</f>
        <v>16450</v>
      </c>
      <c r="I15" s="200">
        <f>CEILING(H15*(1+Наценки!$J$13), 50)</f>
        <v>17300</v>
      </c>
    </row>
    <row r="16" spans="2:9" ht="26.45" customHeight="1">
      <c r="B16" s="685"/>
      <c r="C16" s="688"/>
      <c r="D16" s="690"/>
      <c r="E16" s="224" t="s">
        <v>8</v>
      </c>
      <c r="F16" s="202">
        <f>CEILING($F$14*(1+Наценки!F4), 100)</f>
        <v>28200</v>
      </c>
      <c r="G16" s="203">
        <f>CEILING(H16*(1+Наценки!$H$13), 50)</f>
        <v>16350</v>
      </c>
      <c r="H16" s="204">
        <f>CEILING(F16*(1-Наценки!$I$15), 50)</f>
        <v>17200</v>
      </c>
      <c r="I16" s="205">
        <f>CEILING(H16*(1+Наценки!$J$13), 50)</f>
        <v>18100</v>
      </c>
    </row>
    <row r="17" spans="2:9" ht="26.45" customHeight="1">
      <c r="B17" s="685"/>
      <c r="C17" s="688"/>
      <c r="D17" s="690"/>
      <c r="E17" s="223" t="s">
        <v>9</v>
      </c>
      <c r="F17" s="197">
        <f>CEILING($F$14*(1+Наценки!F5), 100)</f>
        <v>29400</v>
      </c>
      <c r="G17" s="198">
        <f>CEILING(H17*(1+Наценки!$H$13), 50)</f>
        <v>17100</v>
      </c>
      <c r="H17" s="199">
        <f>CEILING(F17*(1-Наценки!$I$15), 50)</f>
        <v>17950</v>
      </c>
      <c r="I17" s="200">
        <f>CEILING(H17*(1+Наценки!$J$13), 50)</f>
        <v>18850</v>
      </c>
    </row>
    <row r="18" spans="2:9" ht="26.45" customHeight="1" thickBot="1">
      <c r="B18" s="685"/>
      <c r="C18" s="688"/>
      <c r="D18" s="691"/>
      <c r="E18" s="224" t="s">
        <v>10</v>
      </c>
      <c r="F18" s="207">
        <f>CEILING($F$14*(1+Наценки!F6), 100)</f>
        <v>30700</v>
      </c>
      <c r="G18" s="208">
        <f>CEILING(H18*(1+Наценки!$H$13), 50)</f>
        <v>17850</v>
      </c>
      <c r="H18" s="209">
        <f>CEILING(F18*(1-Наценки!$I$15), 50)</f>
        <v>18750</v>
      </c>
      <c r="I18" s="210">
        <f>CEILING(H18*(1+Наценки!$J$13), 50)</f>
        <v>19700</v>
      </c>
    </row>
    <row r="19" spans="2:9" ht="26.45" customHeight="1">
      <c r="B19" s="685"/>
      <c r="C19" s="688" t="s">
        <v>150</v>
      </c>
      <c r="D19" s="693" t="s">
        <v>305</v>
      </c>
      <c r="E19" s="130" t="s">
        <v>6</v>
      </c>
      <c r="F19" s="212">
        <f>F14</f>
        <v>25550</v>
      </c>
      <c r="G19" s="92">
        <f>CEILING(H19*(1+Наценки!$H$13), 50)</f>
        <v>14850</v>
      </c>
      <c r="H19" s="93">
        <f>CEILING(F19*(1-Наценки!$I$15), 50)</f>
        <v>15600</v>
      </c>
      <c r="I19" s="94">
        <f>CEILING(H19*(1+Наценки!$J$13), 50)</f>
        <v>16400</v>
      </c>
    </row>
    <row r="20" spans="2:9" ht="26.45" customHeight="1">
      <c r="B20" s="685"/>
      <c r="C20" s="688"/>
      <c r="D20" s="690"/>
      <c r="E20" s="223" t="s">
        <v>7</v>
      </c>
      <c r="F20" s="197">
        <f>CEILING($F$19*(1+Наценки!F3), 100)</f>
        <v>26900</v>
      </c>
      <c r="G20" s="198">
        <f>CEILING(H20*(1+Наценки!$H$13), 50)</f>
        <v>15650</v>
      </c>
      <c r="H20" s="199">
        <f>CEILING(F20*(1-Наценки!$I$15), 50)</f>
        <v>16450</v>
      </c>
      <c r="I20" s="200">
        <f>CEILING(H20*(1+Наценки!$J$13), 50)</f>
        <v>17300</v>
      </c>
    </row>
    <row r="21" spans="2:9" ht="26.45" customHeight="1">
      <c r="B21" s="685"/>
      <c r="C21" s="688"/>
      <c r="D21" s="690"/>
      <c r="E21" s="224" t="s">
        <v>8</v>
      </c>
      <c r="F21" s="202">
        <f>CEILING($F$19*(1+Наценки!F4), 100)</f>
        <v>28200</v>
      </c>
      <c r="G21" s="203">
        <f>CEILING(H21*(1+Наценки!$H$13), 50)</f>
        <v>16350</v>
      </c>
      <c r="H21" s="204">
        <f>CEILING(F21*(1-Наценки!$I$15), 50)</f>
        <v>17200</v>
      </c>
      <c r="I21" s="205">
        <f>CEILING(H21*(1+Наценки!$J$13), 50)</f>
        <v>18100</v>
      </c>
    </row>
    <row r="22" spans="2:9" ht="26.45" customHeight="1">
      <c r="B22" s="685"/>
      <c r="C22" s="688"/>
      <c r="D22" s="690"/>
      <c r="E22" s="223" t="s">
        <v>9</v>
      </c>
      <c r="F22" s="197">
        <f>CEILING($F$19*(1+Наценки!F5), 100)</f>
        <v>29400</v>
      </c>
      <c r="G22" s="198">
        <f>CEILING(H22*(1+Наценки!$H$13), 50)</f>
        <v>17100</v>
      </c>
      <c r="H22" s="199">
        <f>CEILING(F22*(1-Наценки!$I$15), 50)</f>
        <v>17950</v>
      </c>
      <c r="I22" s="200">
        <f>CEILING(H22*(1+Наценки!$J$13), 50)</f>
        <v>18850</v>
      </c>
    </row>
    <row r="23" spans="2:9" ht="26.45" customHeight="1" thickBot="1">
      <c r="B23" s="685"/>
      <c r="C23" s="688"/>
      <c r="D23" s="691"/>
      <c r="E23" s="224" t="s">
        <v>10</v>
      </c>
      <c r="F23" s="207">
        <f>CEILING($F$19*(1+Наценки!F6), 100)</f>
        <v>30700</v>
      </c>
      <c r="G23" s="208">
        <f>CEILING(H23*(1+Наценки!$H$13), 50)</f>
        <v>17850</v>
      </c>
      <c r="H23" s="209">
        <f>CEILING(F23*(1-Наценки!$I$15), 50)</f>
        <v>18750</v>
      </c>
      <c r="I23" s="210">
        <f>CEILING(H23*(1+Наценки!$J$13), 50)</f>
        <v>19700</v>
      </c>
    </row>
    <row r="24" spans="2:9" ht="26.45" customHeight="1">
      <c r="B24" s="685"/>
      <c r="C24" s="688"/>
      <c r="D24" s="694" t="s">
        <v>149</v>
      </c>
      <c r="E24" s="130" t="s">
        <v>6</v>
      </c>
      <c r="F24" s="245">
        <f>CEILING((F14+1000)*(1+'!!!НАЦЕНКИ'!$B$4), 50)</f>
        <v>31350</v>
      </c>
      <c r="G24" s="92">
        <f>CEILING(H24*(1+Наценки!$H$13), 50)</f>
        <v>18200</v>
      </c>
      <c r="H24" s="93">
        <f>CEILING(F24*(1-Наценки!$I$15), 50)</f>
        <v>19150</v>
      </c>
      <c r="I24" s="94">
        <f>CEILING(H24*(1+Наценки!$J$13), 50)</f>
        <v>20150</v>
      </c>
    </row>
    <row r="25" spans="2:9" ht="26.45" customHeight="1">
      <c r="B25" s="685"/>
      <c r="C25" s="688"/>
      <c r="D25" s="695"/>
      <c r="E25" s="223" t="s">
        <v>7</v>
      </c>
      <c r="F25" s="197">
        <f>CEILING($F$24*(1+Наценки!F3), 100)</f>
        <v>33000</v>
      </c>
      <c r="G25" s="198">
        <f>CEILING(H25*(1+Наценки!$H$13), 50)</f>
        <v>19150</v>
      </c>
      <c r="H25" s="199">
        <f>CEILING(F25*(1-Наценки!$I$15), 50)</f>
        <v>20150</v>
      </c>
      <c r="I25" s="200">
        <f>CEILING(H25*(1+Наценки!$J$13), 50)</f>
        <v>21200</v>
      </c>
    </row>
    <row r="26" spans="2:9" ht="26.45" customHeight="1">
      <c r="B26" s="685"/>
      <c r="C26" s="688"/>
      <c r="D26" s="695"/>
      <c r="E26" s="224" t="s">
        <v>8</v>
      </c>
      <c r="F26" s="202">
        <f>CEILING($F$24*(1+Наценки!F4), 100)</f>
        <v>34500</v>
      </c>
      <c r="G26" s="203">
        <f>CEILING(H26*(1+Наценки!$H$13), 50)</f>
        <v>20000</v>
      </c>
      <c r="H26" s="204">
        <f>CEILING(F26*(1-Наценки!$I$15), 50)</f>
        <v>21050</v>
      </c>
      <c r="I26" s="205">
        <f>CEILING(H26*(1+Наценки!$J$13), 50)</f>
        <v>22150</v>
      </c>
    </row>
    <row r="27" spans="2:9" ht="26.45" customHeight="1">
      <c r="B27" s="685"/>
      <c r="C27" s="688"/>
      <c r="D27" s="695"/>
      <c r="E27" s="223" t="s">
        <v>9</v>
      </c>
      <c r="F27" s="197">
        <f>CEILING($F$24*(1+Наценки!F5), 100)</f>
        <v>36100</v>
      </c>
      <c r="G27" s="198">
        <f>CEILING(H27*(1+Наценки!$H$13), 50)</f>
        <v>20950</v>
      </c>
      <c r="H27" s="199">
        <f>CEILING(F27*(1-Наценки!$I$15), 50)</f>
        <v>22050</v>
      </c>
      <c r="I27" s="200">
        <f>CEILING(H27*(1+Наценки!$J$13), 50)</f>
        <v>23200</v>
      </c>
    </row>
    <row r="28" spans="2:9" ht="26.45" customHeight="1" thickBot="1">
      <c r="B28" s="686"/>
      <c r="C28" s="692"/>
      <c r="D28" s="696"/>
      <c r="E28" s="225" t="s">
        <v>10</v>
      </c>
      <c r="F28" s="207">
        <f>CEILING($F$24*(1+Наценки!F6), 100)</f>
        <v>37700</v>
      </c>
      <c r="G28" s="208">
        <f>CEILING(H28*(1+Наценки!$H$13), 50)</f>
        <v>21850</v>
      </c>
      <c r="H28" s="209">
        <f>CEILING(F28*(1-Наценки!$I$15), 50)</f>
        <v>23000</v>
      </c>
      <c r="I28" s="210">
        <f>CEILING(H28*(1+Наценки!$J$13), 50)</f>
        <v>24150</v>
      </c>
    </row>
    <row r="29" spans="2:9" s="9" customFormat="1">
      <c r="B29" s="10" t="s">
        <v>151</v>
      </c>
      <c r="D29" s="11"/>
      <c r="E29"/>
      <c r="F29"/>
      <c r="G29"/>
      <c r="H29" s="12"/>
      <c r="I29"/>
    </row>
  </sheetData>
  <mergeCells count="14">
    <mergeCell ref="B7:B8"/>
    <mergeCell ref="B9:B28"/>
    <mergeCell ref="C9:C18"/>
    <mergeCell ref="D9:D13"/>
    <mergeCell ref="D14:D18"/>
    <mergeCell ref="C19:C28"/>
    <mergeCell ref="D19:D23"/>
    <mergeCell ref="D24:D28"/>
    <mergeCell ref="E7:E8"/>
    <mergeCell ref="F7:F8"/>
    <mergeCell ref="G7:I7"/>
    <mergeCell ref="C7:D8"/>
    <mergeCell ref="E4:I4"/>
    <mergeCell ref="D5:I5"/>
  </mergeCells>
  <hyperlinks>
    <hyperlink ref="B6" location="Содержание!A1" display="Содержание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64"/>
  <sheetViews>
    <sheetView view="pageBreakPreview" zoomScale="98" zoomScaleNormal="100" zoomScaleSheetLayoutView="98" workbookViewId="0">
      <selection activeCell="I6" sqref="I6"/>
    </sheetView>
  </sheetViews>
  <sheetFormatPr defaultColWidth="12.42578125" defaultRowHeight="15" outlineLevelCol="1"/>
  <cols>
    <col min="1" max="1" width="2.140625" customWidth="1"/>
    <col min="2" max="2" width="2.42578125" customWidth="1"/>
    <col min="3" max="3" width="13.140625" customWidth="1"/>
    <col min="4" max="4" width="17.28515625" customWidth="1"/>
    <col min="5" max="5" width="9.42578125" bestFit="1" customWidth="1"/>
    <col min="6" max="7" width="10" hidden="1" customWidth="1" outlineLevel="1"/>
    <col min="8" max="8" width="10" style="12" customWidth="1" collapsed="1"/>
    <col min="9" max="9" width="10" customWidth="1"/>
    <col min="10" max="10" width="2.140625" customWidth="1"/>
  </cols>
  <sheetData>
    <row r="2" spans="3:13">
      <c r="D2" s="1"/>
      <c r="E2" s="2"/>
      <c r="F2" s="1"/>
      <c r="G2" s="1"/>
      <c r="H2" s="3"/>
      <c r="I2" s="1"/>
    </row>
    <row r="3" spans="3:13">
      <c r="D3" s="1"/>
      <c r="E3" s="4"/>
      <c r="F3" s="5"/>
      <c r="G3" s="5"/>
      <c r="H3" s="6"/>
      <c r="I3" s="5"/>
    </row>
    <row r="4" spans="3:13">
      <c r="D4" s="1"/>
      <c r="E4" s="682"/>
      <c r="F4" s="682"/>
      <c r="G4" s="682"/>
      <c r="H4" s="682"/>
      <c r="I4" s="682"/>
    </row>
    <row r="5" spans="3:13">
      <c r="D5" s="683"/>
      <c r="E5" s="683"/>
      <c r="F5" s="683"/>
      <c r="G5" s="683"/>
      <c r="H5" s="683"/>
      <c r="I5" s="683"/>
    </row>
    <row r="6" spans="3:13" ht="20.25">
      <c r="C6" s="7" t="s">
        <v>0</v>
      </c>
      <c r="E6" s="520"/>
      <c r="F6" s="520"/>
      <c r="G6" s="520"/>
      <c r="H6" s="520"/>
      <c r="I6" s="485">
        <f>Содержание!D1</f>
        <v>44697</v>
      </c>
    </row>
    <row r="7" spans="3:13" s="37" customFormat="1" ht="20.100000000000001" customHeight="1">
      <c r="C7" s="546" t="s">
        <v>1</v>
      </c>
      <c r="D7" s="546" t="s">
        <v>2</v>
      </c>
      <c r="E7" s="546" t="s">
        <v>3</v>
      </c>
      <c r="F7" s="553" t="s">
        <v>186</v>
      </c>
      <c r="G7" s="554" t="s">
        <v>187</v>
      </c>
      <c r="H7" s="554"/>
      <c r="I7" s="554"/>
      <c r="J7" s="77"/>
    </row>
    <row r="8" spans="3:13" s="37" customFormat="1" ht="20.100000000000001" customHeight="1">
      <c r="C8" s="546"/>
      <c r="D8" s="546"/>
      <c r="E8" s="546"/>
      <c r="F8" s="553"/>
      <c r="G8" s="176" t="s">
        <v>189</v>
      </c>
      <c r="H8" s="177" t="s">
        <v>190</v>
      </c>
      <c r="I8" s="176" t="s">
        <v>191</v>
      </c>
      <c r="J8" s="77"/>
    </row>
    <row r="9" spans="3:13">
      <c r="C9" s="714" t="s">
        <v>127</v>
      </c>
      <c r="D9" s="715" t="s">
        <v>174</v>
      </c>
      <c r="E9" s="231" t="s">
        <v>6</v>
      </c>
      <c r="F9" s="237">
        <f>CEILING(1240*(1+'!!!НАЦЕНКИ'!$B$4), 10)</f>
        <v>1470</v>
      </c>
      <c r="G9" s="121">
        <f>CEILING(H9*(1+Наценки!$H$13), 10)</f>
        <v>860</v>
      </c>
      <c r="H9" s="226">
        <f>CEILING(F9*(1-Наценки!$I$15), 10)</f>
        <v>900</v>
      </c>
      <c r="I9" s="121">
        <f>CEILING(H9*(1+Наценки!$J$13), 10)</f>
        <v>950</v>
      </c>
      <c r="K9" s="81"/>
      <c r="L9" s="81"/>
      <c r="M9" s="81"/>
    </row>
    <row r="10" spans="3:13">
      <c r="C10" s="707"/>
      <c r="D10" s="710"/>
      <c r="E10" s="232" t="s">
        <v>7</v>
      </c>
      <c r="F10" s="227">
        <f>CEILING($F$9*(1+Наценки!F3), 10)</f>
        <v>1550</v>
      </c>
      <c r="G10" s="122">
        <f>CEILING(H10*(1+Наценки!$H$13), 10)</f>
        <v>910</v>
      </c>
      <c r="H10" s="228">
        <f>CEILING(F10*(1-Наценки!$I$15), 10)</f>
        <v>950</v>
      </c>
      <c r="I10" s="122">
        <f>CEILING(H10*(1+Наценки!$J$13), 10)</f>
        <v>1000</v>
      </c>
    </row>
    <row r="11" spans="3:13">
      <c r="C11" s="707"/>
      <c r="D11" s="710"/>
      <c r="E11" s="233" t="s">
        <v>8</v>
      </c>
      <c r="F11" s="229">
        <f>CEILING($F$9*(1+Наценки!F4), 10)</f>
        <v>1620</v>
      </c>
      <c r="G11" s="121">
        <f>CEILING(H11*(1+Наценки!$H$13), 10)</f>
        <v>950</v>
      </c>
      <c r="H11" s="226">
        <f>CEILING(F11*(1-Наценки!$I$15), 10)</f>
        <v>990</v>
      </c>
      <c r="I11" s="121">
        <f>CEILING(H11*(1+Наценки!$J$13), 10)</f>
        <v>1040</v>
      </c>
    </row>
    <row r="12" spans="3:13">
      <c r="C12" s="707"/>
      <c r="D12" s="710"/>
      <c r="E12" s="232" t="s">
        <v>9</v>
      </c>
      <c r="F12" s="227">
        <f>CEILING($F$9*(1+Наценки!F5), 10)</f>
        <v>1700</v>
      </c>
      <c r="G12" s="122">
        <f>CEILING(H12*(1+Наценки!$H$13), 10)</f>
        <v>990</v>
      </c>
      <c r="H12" s="228">
        <f>CEILING(F12*(1-Наценки!$I$15), 10)</f>
        <v>1040</v>
      </c>
      <c r="I12" s="122">
        <f>CEILING(H12*(1+Наценки!$J$13), 10)</f>
        <v>1100</v>
      </c>
    </row>
    <row r="13" spans="3:13">
      <c r="C13" s="707"/>
      <c r="D13" s="710"/>
      <c r="E13" s="233" t="s">
        <v>10</v>
      </c>
      <c r="F13" s="229">
        <f>CEILING($F$9*(1+Наценки!F6), 10)</f>
        <v>1770</v>
      </c>
      <c r="G13" s="121">
        <f>CEILING(H13*(1+Наценки!$H$13), 10)</f>
        <v>1030</v>
      </c>
      <c r="H13" s="226">
        <f>CEILING(F13*(1-Наценки!$I$15), 10)</f>
        <v>1080</v>
      </c>
      <c r="I13" s="121">
        <f>CEILING(H13*(1+Наценки!$J$13), 10)</f>
        <v>1140</v>
      </c>
    </row>
    <row r="14" spans="3:13" ht="15.75" thickBot="1">
      <c r="C14" s="708"/>
      <c r="D14" s="711"/>
      <c r="E14" s="234" t="s">
        <v>11</v>
      </c>
      <c r="F14" s="237">
        <f>CEILING(1760*(1+'!!!НАЦЕНКИ'!$B$3), 10)</f>
        <v>1940</v>
      </c>
      <c r="G14" s="235">
        <f>CEILING(H14*(1+Наценки!$H$13), 10)</f>
        <v>1140</v>
      </c>
      <c r="H14" s="236">
        <f>CEILING(F14*(1-Наценки!$I$15), 10)</f>
        <v>1190</v>
      </c>
      <c r="I14" s="235">
        <f>CEILING(H14*(1+Наценки!$J$13), 10)</f>
        <v>1250</v>
      </c>
    </row>
    <row r="15" spans="3:13">
      <c r="C15" s="706" t="s">
        <v>128</v>
      </c>
      <c r="D15" s="710" t="s">
        <v>175</v>
      </c>
      <c r="E15" s="230" t="s">
        <v>6</v>
      </c>
      <c r="F15" s="237">
        <f>CEILING(670*(1+'!!!НАЦЕНКИ'!$B$4), 10)</f>
        <v>800</v>
      </c>
      <c r="G15" s="121">
        <f>CEILING(H15*(1+Наценки!$H$13), 10)</f>
        <v>470</v>
      </c>
      <c r="H15" s="226">
        <f>CEILING(F15*(1-Наценки!$I$15), 10)</f>
        <v>490</v>
      </c>
      <c r="I15" s="121">
        <f>CEILING(H15*(1+Наценки!$J$13), 10)</f>
        <v>520</v>
      </c>
    </row>
    <row r="16" spans="3:13">
      <c r="C16" s="706"/>
      <c r="D16" s="710"/>
      <c r="E16" s="72" t="s">
        <v>7</v>
      </c>
      <c r="F16" s="227">
        <f>CEILING($F$15*(1+Наценки!F3), 10)</f>
        <v>840</v>
      </c>
      <c r="G16" s="122">
        <f>CEILING(H16*(1+Наценки!$H$13), 10)</f>
        <v>500</v>
      </c>
      <c r="H16" s="228">
        <f>CEILING(F16*(1-Наценки!$I$15), 10)</f>
        <v>520</v>
      </c>
      <c r="I16" s="122">
        <f>CEILING(H16*(1+Наценки!$J$13), 10)</f>
        <v>550</v>
      </c>
    </row>
    <row r="17" spans="3:9">
      <c r="C17" s="706"/>
      <c r="D17" s="710"/>
      <c r="E17" s="73" t="s">
        <v>8</v>
      </c>
      <c r="F17" s="229">
        <f>CEILING($F$15*(1+Наценки!F4), 10)</f>
        <v>880</v>
      </c>
      <c r="G17" s="121">
        <f>CEILING(H17*(1+Наценки!$H$13), 10)</f>
        <v>520</v>
      </c>
      <c r="H17" s="226">
        <f>CEILING(F17*(1-Наценки!$I$15), 10)</f>
        <v>540</v>
      </c>
      <c r="I17" s="121">
        <f>CEILING(H17*(1+Наценки!$J$13), 10)</f>
        <v>570</v>
      </c>
    </row>
    <row r="18" spans="3:9">
      <c r="C18" s="706"/>
      <c r="D18" s="710"/>
      <c r="E18" s="72" t="s">
        <v>9</v>
      </c>
      <c r="F18" s="227">
        <f>CEILING($F$9*(1+Наценки!F5), 10)</f>
        <v>1700</v>
      </c>
      <c r="G18" s="122">
        <f>CEILING(H18*(1+Наценки!$H$13), 10)</f>
        <v>990</v>
      </c>
      <c r="H18" s="228">
        <f>CEILING(F18*(1-Наценки!$I$15), 10)</f>
        <v>1040</v>
      </c>
      <c r="I18" s="122">
        <f>CEILING(H18*(1+Наценки!$J$13), 10)</f>
        <v>1100</v>
      </c>
    </row>
    <row r="19" spans="3:9">
      <c r="C19" s="706"/>
      <c r="D19" s="710"/>
      <c r="E19" s="73" t="s">
        <v>10</v>
      </c>
      <c r="F19" s="229">
        <f>CEILING($F$15*(1+Наценки!F6), 10)</f>
        <v>960</v>
      </c>
      <c r="G19" s="121">
        <f>CEILING(H19*(1+Наценки!$H$13), 10)</f>
        <v>570</v>
      </c>
      <c r="H19" s="226">
        <f>CEILING(F19*(1-Наценки!$I$15), 10)</f>
        <v>590</v>
      </c>
      <c r="I19" s="121">
        <f>CEILING(H19*(1+Наценки!$J$13), 10)</f>
        <v>620</v>
      </c>
    </row>
    <row r="20" spans="3:9" ht="15.75" thickBot="1">
      <c r="C20" s="706"/>
      <c r="D20" s="711"/>
      <c r="E20" s="74" t="s">
        <v>11</v>
      </c>
      <c r="F20" s="237">
        <f>CEILING(1240*(1+'!!!НАЦЕНКИ'!$B$3), 10)</f>
        <v>1370</v>
      </c>
      <c r="G20" s="235">
        <f>CEILING(H20*(1+Наценки!$H$13), 10)</f>
        <v>800</v>
      </c>
      <c r="H20" s="236">
        <f>CEILING(F20*(1-Наценки!$I$15), 10)</f>
        <v>840</v>
      </c>
      <c r="I20" s="235">
        <f>CEILING(H20*(1+Наценки!$J$13), 10)</f>
        <v>890</v>
      </c>
    </row>
    <row r="21" spans="3:9">
      <c r="C21" s="706"/>
      <c r="D21" s="709" t="s">
        <v>174</v>
      </c>
      <c r="E21" s="75" t="s">
        <v>6</v>
      </c>
      <c r="F21" s="237">
        <f>CEILING(750*(1+'!!!НАЦЕНКИ'!$B$4), 10)</f>
        <v>890</v>
      </c>
      <c r="G21" s="121">
        <f>CEILING(H21*(1+Наценки!$H$13), 10)</f>
        <v>530</v>
      </c>
      <c r="H21" s="226">
        <f>CEILING(F21*(1-Наценки!$I$15), 10)</f>
        <v>550</v>
      </c>
      <c r="I21" s="121">
        <f>CEILING(H21*(1+Наценки!$J$13), 10)</f>
        <v>580</v>
      </c>
    </row>
    <row r="22" spans="3:9">
      <c r="C22" s="706"/>
      <c r="D22" s="710"/>
      <c r="E22" s="72" t="s">
        <v>7</v>
      </c>
      <c r="F22" s="227">
        <f>CEILING($F$21*(1+Наценки!F3), 10)</f>
        <v>940</v>
      </c>
      <c r="G22" s="122">
        <f>CEILING(H22*(1+Наценки!$H$13), 10)</f>
        <v>560</v>
      </c>
      <c r="H22" s="228">
        <f>CEILING(F22*(1-Наценки!$I$15), 10)</f>
        <v>580</v>
      </c>
      <c r="I22" s="122">
        <f>CEILING(H22*(1+Наценки!$J$13), 10)</f>
        <v>610</v>
      </c>
    </row>
    <row r="23" spans="3:9">
      <c r="C23" s="706"/>
      <c r="D23" s="710"/>
      <c r="E23" s="73" t="s">
        <v>8</v>
      </c>
      <c r="F23" s="229">
        <f>CEILING($F$21*(1+Наценки!F4), 10)</f>
        <v>980</v>
      </c>
      <c r="G23" s="121">
        <f>CEILING(H23*(1+Наценки!$H$13), 10)</f>
        <v>570</v>
      </c>
      <c r="H23" s="226">
        <f>CEILING(F23*(1-Наценки!$I$15), 10)</f>
        <v>600</v>
      </c>
      <c r="I23" s="121">
        <f>CEILING(H23*(1+Наценки!$J$13), 10)</f>
        <v>630</v>
      </c>
    </row>
    <row r="24" spans="3:9">
      <c r="C24" s="706"/>
      <c r="D24" s="710"/>
      <c r="E24" s="72" t="s">
        <v>9</v>
      </c>
      <c r="F24" s="227">
        <f>CEILING($F$21*(1+Наценки!F5), 10)</f>
        <v>1030</v>
      </c>
      <c r="G24" s="122">
        <f>CEILING(H24*(1+Наценки!$H$13), 10)</f>
        <v>600</v>
      </c>
      <c r="H24" s="228">
        <f>CEILING(F24*(1-Наценки!$I$15), 10)</f>
        <v>630</v>
      </c>
      <c r="I24" s="122">
        <f>CEILING(H24*(1+Наценки!$J$13), 10)</f>
        <v>670</v>
      </c>
    </row>
    <row r="25" spans="3:9">
      <c r="C25" s="706"/>
      <c r="D25" s="710"/>
      <c r="E25" s="73" t="s">
        <v>10</v>
      </c>
      <c r="F25" s="229">
        <f>CEILING($F$21*(1+Наценки!F6), 10)</f>
        <v>1070</v>
      </c>
      <c r="G25" s="121">
        <f>CEILING(H25*(1+Наценки!$H$13), 10)</f>
        <v>630</v>
      </c>
      <c r="H25" s="226">
        <f>CEILING(F25*(1-Наценки!$I$15), 10)</f>
        <v>660</v>
      </c>
      <c r="I25" s="121">
        <f>CEILING(H25*(1+Наценки!$J$13), 10)</f>
        <v>700</v>
      </c>
    </row>
    <row r="26" spans="3:9" ht="15.75" thickBot="1">
      <c r="C26" s="716"/>
      <c r="D26" s="711"/>
      <c r="E26" s="74" t="s">
        <v>11</v>
      </c>
      <c r="F26" s="237">
        <f>CEILING(1400*(1+'!!!НАЦЕНКИ'!$B$3), 10)</f>
        <v>1540</v>
      </c>
      <c r="G26" s="235">
        <f>CEILING(H26*(1+Наценки!$H$13), 10)</f>
        <v>900</v>
      </c>
      <c r="H26" s="236">
        <f>CEILING(F26*(1-Наценки!$I$15), 10)</f>
        <v>940</v>
      </c>
      <c r="I26" s="235">
        <f>CEILING(H26*(1+Наценки!$J$13), 10)</f>
        <v>990</v>
      </c>
    </row>
    <row r="27" spans="3:9">
      <c r="C27" s="706" t="s">
        <v>129</v>
      </c>
      <c r="D27" s="709" t="s">
        <v>174</v>
      </c>
      <c r="E27" s="75" t="s">
        <v>6</v>
      </c>
      <c r="F27" s="237">
        <f>CEILING(1200*(1+'!!!НАЦЕНКИ'!$B$4), 10)</f>
        <v>1420</v>
      </c>
      <c r="G27" s="121">
        <f>CEILING(H27*(1+Наценки!$H$13), 10)</f>
        <v>830</v>
      </c>
      <c r="H27" s="226">
        <f>CEILING(F27*(1-Наценки!$I$15), 10)</f>
        <v>870</v>
      </c>
      <c r="I27" s="121">
        <f>CEILING(H27*(1+Наценки!$J$13), 10)</f>
        <v>920</v>
      </c>
    </row>
    <row r="28" spans="3:9">
      <c r="C28" s="707"/>
      <c r="D28" s="710"/>
      <c r="E28" s="72" t="s">
        <v>7</v>
      </c>
      <c r="F28" s="227">
        <f>CEILING($F$27*(1+Наценки!F3), 10)</f>
        <v>1500</v>
      </c>
      <c r="G28" s="122">
        <f>CEILING(H28*(1+Наценки!$H$13), 10)</f>
        <v>880</v>
      </c>
      <c r="H28" s="228">
        <f>CEILING(F28*(1-Наценки!$I$15), 10)</f>
        <v>920</v>
      </c>
      <c r="I28" s="122">
        <f>CEILING(H28*(1+Наценки!$J$13), 10)</f>
        <v>970</v>
      </c>
    </row>
    <row r="29" spans="3:9">
      <c r="C29" s="707"/>
      <c r="D29" s="710"/>
      <c r="E29" s="73" t="s">
        <v>8</v>
      </c>
      <c r="F29" s="229">
        <f>CEILING($F$27*(1+Наценки!F4), 10)</f>
        <v>1570</v>
      </c>
      <c r="G29" s="121">
        <f>CEILING(H29*(1+Наценки!$H$13), 10)</f>
        <v>920</v>
      </c>
      <c r="H29" s="226">
        <f>CEILING(F29*(1-Наценки!$I$15), 10)</f>
        <v>960</v>
      </c>
      <c r="I29" s="121">
        <f>CEILING(H29*(1+Наценки!$J$13), 10)</f>
        <v>1010</v>
      </c>
    </row>
    <row r="30" spans="3:9">
      <c r="C30" s="707"/>
      <c r="D30" s="710"/>
      <c r="E30" s="72" t="s">
        <v>9</v>
      </c>
      <c r="F30" s="227">
        <f>CEILING($F$27*(1+Наценки!F5), 10)</f>
        <v>1640</v>
      </c>
      <c r="G30" s="122">
        <f>CEILING(H30*(1+Наценки!$H$13), 10)</f>
        <v>950</v>
      </c>
      <c r="H30" s="228">
        <f>CEILING(F30*(1-Наценки!$I$15), 10)</f>
        <v>1000</v>
      </c>
      <c r="I30" s="122">
        <f>CEILING(H30*(1+Наценки!$J$13), 10)</f>
        <v>1050</v>
      </c>
    </row>
    <row r="31" spans="3:9">
      <c r="C31" s="707"/>
      <c r="D31" s="710"/>
      <c r="E31" s="73" t="s">
        <v>10</v>
      </c>
      <c r="F31" s="229">
        <f>CEILING($F$27*(1+Наценки!F6), 10)</f>
        <v>1710</v>
      </c>
      <c r="G31" s="121">
        <f>CEILING(H31*(1+Наценки!$H$13), 10)</f>
        <v>1000</v>
      </c>
      <c r="H31" s="226">
        <f>CEILING(F31*(1-Наценки!$I$15), 10)</f>
        <v>1050</v>
      </c>
      <c r="I31" s="121">
        <f>CEILING(H31*(1+Наценки!$J$13), 10)</f>
        <v>1110</v>
      </c>
    </row>
    <row r="32" spans="3:9" ht="15.75" thickBot="1">
      <c r="C32" s="708"/>
      <c r="D32" s="711"/>
      <c r="E32" s="74" t="s">
        <v>11</v>
      </c>
      <c r="F32" s="237">
        <f>CEILING(2250*(1+'!!!НАЦЕНКИ'!$B$3), 10)</f>
        <v>2480</v>
      </c>
      <c r="G32" s="235">
        <f>CEILING(H32*(1+Наценки!$H$13), 10)</f>
        <v>1450</v>
      </c>
      <c r="H32" s="236">
        <f>CEILING(F32*(1-Наценки!$I$15), 10)</f>
        <v>1520</v>
      </c>
      <c r="I32" s="235">
        <f>CEILING(H32*(1+Наценки!$J$13), 10)</f>
        <v>1600</v>
      </c>
    </row>
    <row r="33" spans="3:11">
      <c r="C33" s="706" t="s">
        <v>130</v>
      </c>
      <c r="D33" s="709" t="s">
        <v>174</v>
      </c>
      <c r="E33" s="75" t="s">
        <v>6</v>
      </c>
      <c r="F33" s="237"/>
      <c r="G33" s="121">
        <f>CEILING(H33*(1+Наценки!$H$13), 10)</f>
        <v>0</v>
      </c>
      <c r="H33" s="226">
        <f>CEILING(F33*(1-Наценки!$I$15), 10)</f>
        <v>0</v>
      </c>
      <c r="I33" s="121">
        <f>CEILING(H33*(1+Наценки!$J$13), 10)</f>
        <v>0</v>
      </c>
    </row>
    <row r="34" spans="3:11">
      <c r="C34" s="707"/>
      <c r="D34" s="710"/>
      <c r="E34" s="72" t="s">
        <v>7</v>
      </c>
      <c r="F34" s="227"/>
      <c r="G34" s="122">
        <f>CEILING(H34*(1+Наценки!$H$13), 10)</f>
        <v>0</v>
      </c>
      <c r="H34" s="228">
        <f>CEILING(F34*(1-Наценки!$I$15), 10)</f>
        <v>0</v>
      </c>
      <c r="I34" s="122">
        <f>CEILING(H34*(1+Наценки!$J$13), 10)</f>
        <v>0</v>
      </c>
    </row>
    <row r="35" spans="3:11">
      <c r="C35" s="707"/>
      <c r="D35" s="710"/>
      <c r="E35" s="73" t="s">
        <v>8</v>
      </c>
      <c r="F35" s="229"/>
      <c r="G35" s="121">
        <f>CEILING(H35*(1+Наценки!$H$13), 10)</f>
        <v>0</v>
      </c>
      <c r="H35" s="226">
        <f>CEILING(F35*(1-Наценки!$I$15), 10)</f>
        <v>0</v>
      </c>
      <c r="I35" s="121">
        <f>CEILING(H35*(1+Наценки!$J$13), 10)</f>
        <v>0</v>
      </c>
    </row>
    <row r="36" spans="3:11">
      <c r="C36" s="707"/>
      <c r="D36" s="710"/>
      <c r="E36" s="72" t="s">
        <v>9</v>
      </c>
      <c r="F36" s="227"/>
      <c r="G36" s="122">
        <f>CEILING(H36*(1+Наценки!$H$13), 10)</f>
        <v>0</v>
      </c>
      <c r="H36" s="228">
        <f>CEILING(F36*(1-Наценки!$I$15), 10)</f>
        <v>0</v>
      </c>
      <c r="I36" s="122">
        <f>CEILING(H36*(1+Наценки!$J$13), 10)</f>
        <v>0</v>
      </c>
    </row>
    <row r="37" spans="3:11">
      <c r="C37" s="707"/>
      <c r="D37" s="710"/>
      <c r="E37" s="73" t="s">
        <v>10</v>
      </c>
      <c r="F37" s="229"/>
      <c r="G37" s="121">
        <f>CEILING(H37*(1+Наценки!$H$13), 10)</f>
        <v>0</v>
      </c>
      <c r="H37" s="226">
        <f>CEILING(F37*(1-Наценки!$I$15), 10)</f>
        <v>0</v>
      </c>
      <c r="I37" s="121">
        <f>CEILING(H37*(1+Наценки!$J$13), 10)</f>
        <v>0</v>
      </c>
    </row>
    <row r="38" spans="3:11" ht="15.75" thickBot="1">
      <c r="C38" s="712"/>
      <c r="D38" s="711"/>
      <c r="E38" s="74" t="s">
        <v>11</v>
      </c>
      <c r="F38" s="237">
        <f>F32</f>
        <v>2480</v>
      </c>
      <c r="G38" s="235">
        <f>CEILING(H38*(1+Наценки!$H$13), 10)</f>
        <v>1450</v>
      </c>
      <c r="H38" s="236">
        <f>CEILING(F38*(1-Наценки!$I$15), 10)</f>
        <v>1520</v>
      </c>
      <c r="I38" s="235">
        <f>CEILING(H38*(1+Наценки!$J$13), 10)</f>
        <v>1600</v>
      </c>
    </row>
    <row r="39" spans="3:11">
      <c r="C39" s="703" t="s">
        <v>131</v>
      </c>
      <c r="D39" s="697" t="s">
        <v>174</v>
      </c>
      <c r="E39" s="75" t="s">
        <v>6</v>
      </c>
      <c r="F39" s="237">
        <f>CEILING(450*(1+'!!!НАЦЕНКИ'!$B$4), 10)</f>
        <v>540</v>
      </c>
      <c r="G39" s="121">
        <f>CEILING(H39*(1+Наценки!$H$13), 5)</f>
        <v>315</v>
      </c>
      <c r="H39" s="226">
        <f>CEILING(F39*(1-Наценки!$I$15), 5)</f>
        <v>330</v>
      </c>
      <c r="I39" s="121">
        <f>CEILING(H39*(1+Наценки!$J$13), 5)</f>
        <v>350</v>
      </c>
    </row>
    <row r="40" spans="3:11">
      <c r="C40" s="704"/>
      <c r="D40" s="698"/>
      <c r="E40" s="72" t="s">
        <v>7</v>
      </c>
      <c r="F40" s="227">
        <f>CEILING($F$39*(1+Наценки!F3), 10)</f>
        <v>570</v>
      </c>
      <c r="G40" s="122">
        <f>CEILING(H40*(1+Наценки!$H$13), 5)</f>
        <v>335</v>
      </c>
      <c r="H40" s="228">
        <f>CEILING(F40*(1-Наценки!$I$15), 5)</f>
        <v>350</v>
      </c>
      <c r="I40" s="122">
        <f>CEILING(H40*(1+Наценки!$J$13), 5)</f>
        <v>370</v>
      </c>
    </row>
    <row r="41" spans="3:11">
      <c r="C41" s="704"/>
      <c r="D41" s="698"/>
      <c r="E41" s="73" t="s">
        <v>8</v>
      </c>
      <c r="F41" s="229">
        <f>CEILING($F$39*(1+Наценки!F4), 10)</f>
        <v>600</v>
      </c>
      <c r="G41" s="121">
        <f>CEILING(H41*(1+Наценки!$H$13), 5)</f>
        <v>355</v>
      </c>
      <c r="H41" s="226">
        <f>CEILING(F41*(1-Наценки!$I$15), 5)</f>
        <v>370</v>
      </c>
      <c r="I41" s="121">
        <f>CEILING(H41*(1+Наценки!$J$13), 5)</f>
        <v>390</v>
      </c>
    </row>
    <row r="42" spans="3:11">
      <c r="C42" s="704"/>
      <c r="D42" s="698"/>
      <c r="E42" s="72" t="s">
        <v>9</v>
      </c>
      <c r="F42" s="227">
        <f>CEILING($F$39*(1+Наценки!F5), 10)</f>
        <v>630</v>
      </c>
      <c r="G42" s="122">
        <f>CEILING(H42*(1+Наценки!$H$13), 5)</f>
        <v>370</v>
      </c>
      <c r="H42" s="228">
        <f>CEILING(F42*(1-Наценки!$I$15), 5)</f>
        <v>385</v>
      </c>
      <c r="I42" s="122">
        <f>CEILING(H42*(1+Наценки!$J$13), 5)</f>
        <v>405</v>
      </c>
    </row>
    <row r="43" spans="3:11">
      <c r="C43" s="704"/>
      <c r="D43" s="698"/>
      <c r="E43" s="73" t="s">
        <v>10</v>
      </c>
      <c r="F43" s="229">
        <f>CEILING($F$39*(1+Наценки!F6), 10)</f>
        <v>650</v>
      </c>
      <c r="G43" s="121">
        <f>CEILING(H43*(1+Наценки!$H$13), 5)</f>
        <v>380</v>
      </c>
      <c r="H43" s="226">
        <f>CEILING(F43*(1-Наценки!$I$15), 5)</f>
        <v>400</v>
      </c>
      <c r="I43" s="121">
        <f>CEILING(H43*(1+Наценки!$J$13), 5)</f>
        <v>420</v>
      </c>
    </row>
    <row r="44" spans="3:11" ht="15.75" thickBot="1">
      <c r="C44" s="705"/>
      <c r="D44" s="699"/>
      <c r="E44" s="74" t="s">
        <v>11</v>
      </c>
      <c r="F44" s="237">
        <f>CEILING(850*(1+'!!!НАЦЕНКИ'!$B$3), 10)</f>
        <v>940</v>
      </c>
      <c r="G44" s="235">
        <f>CEILING(H44*(1+Наценки!$H$13), 5)</f>
        <v>550</v>
      </c>
      <c r="H44" s="236">
        <f>CEILING(F44*(1-Наценки!$I$15), 5)</f>
        <v>575</v>
      </c>
      <c r="I44" s="235">
        <f>CEILING(H44*(1+Наценки!$J$13), 5)</f>
        <v>605</v>
      </c>
    </row>
    <row r="45" spans="3:11" s="37" customFormat="1" ht="20.100000000000001" customHeight="1">
      <c r="C45" s="713" t="s">
        <v>1</v>
      </c>
      <c r="D45" s="546" t="s">
        <v>2</v>
      </c>
      <c r="E45" s="546" t="s">
        <v>3</v>
      </c>
      <c r="F45" s="553" t="s">
        <v>186</v>
      </c>
      <c r="G45" s="554" t="s">
        <v>187</v>
      </c>
      <c r="H45" s="554"/>
      <c r="I45" s="554"/>
      <c r="J45" s="77"/>
    </row>
    <row r="46" spans="3:11" s="37" customFormat="1" ht="20.100000000000001" customHeight="1">
      <c r="C46" s="546"/>
      <c r="D46" s="546"/>
      <c r="E46" s="546"/>
      <c r="F46" s="553"/>
      <c r="G46" s="176" t="s">
        <v>189</v>
      </c>
      <c r="H46" s="177" t="s">
        <v>190</v>
      </c>
      <c r="I46" s="176" t="s">
        <v>191</v>
      </c>
      <c r="J46" s="77"/>
    </row>
    <row r="47" spans="3:11">
      <c r="C47" s="700" t="s">
        <v>176</v>
      </c>
      <c r="D47" s="697" t="s">
        <v>174</v>
      </c>
      <c r="E47" s="75" t="s">
        <v>6</v>
      </c>
      <c r="F47" s="237">
        <f>CEILING(650*(1+'!!!НАЦЕНКИ'!$B$4), 10)</f>
        <v>770</v>
      </c>
      <c r="G47" s="121">
        <f>CEILING(H47*(1+Наценки!$H$13), 10)</f>
        <v>450</v>
      </c>
      <c r="H47" s="226">
        <f>CEILING(F47*(1-Наценки!$I$15), 10)</f>
        <v>470</v>
      </c>
      <c r="I47" s="121">
        <f>CEILING(H47*(1+Наценки!$J$13), 10)</f>
        <v>500</v>
      </c>
      <c r="K47" s="82"/>
    </row>
    <row r="48" spans="3:11">
      <c r="C48" s="701"/>
      <c r="D48" s="698"/>
      <c r="E48" s="72" t="s">
        <v>7</v>
      </c>
      <c r="F48" s="227">
        <f>CEILING($F$47*(1+Наценки!F3), 10)</f>
        <v>810</v>
      </c>
      <c r="G48" s="122">
        <f>CEILING(H48*(1+Наценки!$H$13), 10)</f>
        <v>480</v>
      </c>
      <c r="H48" s="228">
        <f>CEILING(F48*(1-Наценки!$I$15), 10)</f>
        <v>500</v>
      </c>
      <c r="I48" s="122">
        <f>CEILING(H48*(1+Наценки!$J$13), 10)</f>
        <v>530</v>
      </c>
    </row>
    <row r="49" spans="3:9">
      <c r="C49" s="701"/>
      <c r="D49" s="698"/>
      <c r="E49" s="73" t="s">
        <v>8</v>
      </c>
      <c r="F49" s="229">
        <f>CEILING($F$47*(1+Наценки!F4), 10)</f>
        <v>850</v>
      </c>
      <c r="G49" s="121">
        <f>CEILING(H49*(1+Наценки!$H$13), 10)</f>
        <v>500</v>
      </c>
      <c r="H49" s="226">
        <f>CEILING(F49*(1-Наценки!$I$15), 10)</f>
        <v>520</v>
      </c>
      <c r="I49" s="121">
        <f>CEILING(H49*(1+Наценки!$J$13), 10)</f>
        <v>550</v>
      </c>
    </row>
    <row r="50" spans="3:9">
      <c r="C50" s="701"/>
      <c r="D50" s="698"/>
      <c r="E50" s="72" t="s">
        <v>9</v>
      </c>
      <c r="F50" s="227">
        <f>CEILING($F$47*(1+Наценки!F5), 10)</f>
        <v>890</v>
      </c>
      <c r="G50" s="122">
        <f>CEILING(H50*(1+Наценки!$H$13), 10)</f>
        <v>530</v>
      </c>
      <c r="H50" s="228">
        <f>CEILING(F50*(1-Наценки!$I$15), 10)</f>
        <v>550</v>
      </c>
      <c r="I50" s="122">
        <f>CEILING(H50*(1+Наценки!$J$13), 10)</f>
        <v>580</v>
      </c>
    </row>
    <row r="51" spans="3:9">
      <c r="C51" s="701"/>
      <c r="D51" s="698"/>
      <c r="E51" s="73" t="s">
        <v>10</v>
      </c>
      <c r="F51" s="229">
        <f>CEILING($F$47*(1+Наценки!F6), 10)</f>
        <v>930</v>
      </c>
      <c r="G51" s="121">
        <f>CEILING(H51*(1+Наценки!$H$13), 10)</f>
        <v>550</v>
      </c>
      <c r="H51" s="226">
        <f>CEILING(F51*(1-Наценки!$I$15), 10)</f>
        <v>570</v>
      </c>
      <c r="I51" s="121">
        <f>CEILING(H51*(1+Наценки!$J$13), 10)</f>
        <v>600</v>
      </c>
    </row>
    <row r="52" spans="3:9" ht="15.75" thickBot="1">
      <c r="C52" s="701"/>
      <c r="D52" s="699"/>
      <c r="E52" s="74" t="s">
        <v>11</v>
      </c>
      <c r="F52" s="237">
        <f>CEILING(1150*(1+'!!!НАЦЕНКИ'!$B$3), 10)</f>
        <v>1270</v>
      </c>
      <c r="G52" s="235">
        <f>CEILING(H52*(1+Наценки!$H$13), 10)</f>
        <v>750</v>
      </c>
      <c r="H52" s="236">
        <f>CEILING(F52*(1-Наценки!$I$15), 10)</f>
        <v>780</v>
      </c>
      <c r="I52" s="235">
        <f>CEILING(H52*(1+Наценки!$J$13), 10)</f>
        <v>820</v>
      </c>
    </row>
    <row r="53" spans="3:9">
      <c r="C53" s="701"/>
      <c r="D53" s="697" t="s">
        <v>174</v>
      </c>
      <c r="E53" s="75" t="s">
        <v>6</v>
      </c>
      <c r="F53" s="237">
        <f>CEILING(1050*(1+'!!!НАЦЕНКИ'!$B$4), 10)</f>
        <v>1240</v>
      </c>
      <c r="G53" s="121">
        <f>CEILING(H53*(1+Наценки!$H$13), 10)</f>
        <v>730</v>
      </c>
      <c r="H53" s="226">
        <f>CEILING(F53*(1-Наценки!$I$15), 10)</f>
        <v>760</v>
      </c>
      <c r="I53" s="121">
        <f>CEILING(H53*(1+Наценки!$J$13), 10)</f>
        <v>800</v>
      </c>
    </row>
    <row r="54" spans="3:9">
      <c r="C54" s="701"/>
      <c r="D54" s="698"/>
      <c r="E54" s="72" t="s">
        <v>7</v>
      </c>
      <c r="F54" s="227">
        <f>CEILING($F$47*(1+Наценки!F3), 10)</f>
        <v>810</v>
      </c>
      <c r="G54" s="122">
        <f>CEILING(H54*(1+Наценки!$H$13), 10)</f>
        <v>480</v>
      </c>
      <c r="H54" s="228">
        <f>CEILING(F54*(1-Наценки!$I$15), 10)</f>
        <v>500</v>
      </c>
      <c r="I54" s="122">
        <f>CEILING(H54*(1+Наценки!$J$13), 10)</f>
        <v>530</v>
      </c>
    </row>
    <row r="55" spans="3:9">
      <c r="C55" s="701"/>
      <c r="D55" s="698"/>
      <c r="E55" s="73" t="s">
        <v>8</v>
      </c>
      <c r="F55" s="229">
        <f>CEILING($F$53*(1+Наценки!F4), 10)</f>
        <v>1370</v>
      </c>
      <c r="G55" s="121">
        <f>CEILING(H55*(1+Наценки!$H$13), 10)</f>
        <v>800</v>
      </c>
      <c r="H55" s="226">
        <f>CEILING(F55*(1-Наценки!$I$15), 10)</f>
        <v>840</v>
      </c>
      <c r="I55" s="121">
        <f>CEILING(H55*(1+Наценки!$J$13), 10)</f>
        <v>890</v>
      </c>
    </row>
    <row r="56" spans="3:9">
      <c r="C56" s="701"/>
      <c r="D56" s="698"/>
      <c r="E56" s="72" t="s">
        <v>9</v>
      </c>
      <c r="F56" s="227">
        <f>CEILING($F$47*(1+Наценки!F5), 10)</f>
        <v>890</v>
      </c>
      <c r="G56" s="122">
        <f>CEILING(H56*(1+Наценки!$H$13), 10)</f>
        <v>530</v>
      </c>
      <c r="H56" s="228">
        <f>CEILING(F56*(1-Наценки!$I$15), 10)</f>
        <v>550</v>
      </c>
      <c r="I56" s="122">
        <f>CEILING(H56*(1+Наценки!$J$13), 10)</f>
        <v>580</v>
      </c>
    </row>
    <row r="57" spans="3:9">
      <c r="C57" s="701"/>
      <c r="D57" s="698"/>
      <c r="E57" s="73" t="s">
        <v>10</v>
      </c>
      <c r="F57" s="229">
        <f>CEILING($F$53*(1+Наценки!F6), 10)</f>
        <v>1490</v>
      </c>
      <c r="G57" s="121">
        <f>CEILING(H57*(1+Наценки!$H$13), 10)</f>
        <v>870</v>
      </c>
      <c r="H57" s="226">
        <f>CEILING(F57*(1-Наценки!$I$15), 10)</f>
        <v>910</v>
      </c>
      <c r="I57" s="121">
        <f>CEILING(H57*(1+Наценки!$J$13), 10)</f>
        <v>960</v>
      </c>
    </row>
    <row r="58" spans="3:9" ht="15.75" thickBot="1">
      <c r="C58" s="701"/>
      <c r="D58" s="699"/>
      <c r="E58" s="74" t="s">
        <v>11</v>
      </c>
      <c r="F58" s="237">
        <f>CEILING(2050*(1+'!!!НАЦЕНКИ'!$B$3), 10)</f>
        <v>2260</v>
      </c>
      <c r="G58" s="235">
        <f>CEILING(H58*(1+Наценки!$H$13), 10)</f>
        <v>1320</v>
      </c>
      <c r="H58" s="236">
        <f>CEILING(F58*(1-Наценки!$I$15), 10)</f>
        <v>1380</v>
      </c>
      <c r="I58" s="235">
        <f>CEILING(H58*(1+Наценки!$J$13), 10)</f>
        <v>1450</v>
      </c>
    </row>
    <row r="59" spans="3:9">
      <c r="C59" s="701"/>
      <c r="D59" s="697" t="s">
        <v>174</v>
      </c>
      <c r="E59" s="75" t="s">
        <v>6</v>
      </c>
      <c r="F59" s="237">
        <f>CEILING(90*(1+'!!!НАЦЕНКИ'!$B$4), 10)</f>
        <v>110</v>
      </c>
      <c r="G59" s="121">
        <f>CEILING(H59*(1+Наценки!$H$13), 5)</f>
        <v>70</v>
      </c>
      <c r="H59" s="226">
        <f>CEILING(F59*(1-Наценки!$I$15), 5)</f>
        <v>70</v>
      </c>
      <c r="I59" s="121">
        <f>CEILING(H59*(1+Наценки!$J$13), 5)</f>
        <v>75</v>
      </c>
    </row>
    <row r="60" spans="3:9">
      <c r="C60" s="701"/>
      <c r="D60" s="698"/>
      <c r="E60" s="72" t="s">
        <v>7</v>
      </c>
      <c r="F60" s="227">
        <f>CEILING($F$59*(1+Наценки!F3), 10)</f>
        <v>120</v>
      </c>
      <c r="G60" s="122">
        <f>CEILING(H60*(1+Наценки!$H$13), 5)</f>
        <v>75</v>
      </c>
      <c r="H60" s="228">
        <f>CEILING(F60*(1-Наценки!$I$15), 5)</f>
        <v>75</v>
      </c>
      <c r="I60" s="122">
        <f>CEILING(H60*(1+Наценки!$J$13), 5)</f>
        <v>80</v>
      </c>
    </row>
    <row r="61" spans="3:9">
      <c r="C61" s="701"/>
      <c r="D61" s="698"/>
      <c r="E61" s="73" t="s">
        <v>8</v>
      </c>
      <c r="F61" s="229">
        <f>CEILING($F$59*(1+Наценки!F4), 10)</f>
        <v>130</v>
      </c>
      <c r="G61" s="121">
        <f>CEILING(H61*(1+Наценки!$H$13), 5)</f>
        <v>80</v>
      </c>
      <c r="H61" s="226">
        <f>CEILING(F61*(1-Наценки!$I$15), 5)</f>
        <v>80</v>
      </c>
      <c r="I61" s="121">
        <f>CEILING(H61*(1+Наценки!$J$13), 5)</f>
        <v>85</v>
      </c>
    </row>
    <row r="62" spans="3:9">
      <c r="C62" s="701"/>
      <c r="D62" s="698"/>
      <c r="E62" s="72" t="s">
        <v>9</v>
      </c>
      <c r="F62" s="227">
        <f>CEILING($F$59*(1+Наценки!F5), 10)</f>
        <v>130</v>
      </c>
      <c r="G62" s="122">
        <f>CEILING(H62*(1+Наценки!$H$13), 5)</f>
        <v>80</v>
      </c>
      <c r="H62" s="228">
        <f>CEILING(F62*(1-Наценки!$I$15), 5)</f>
        <v>80</v>
      </c>
      <c r="I62" s="122">
        <f>CEILING(H62*(1+Наценки!$J$13), 5)</f>
        <v>85</v>
      </c>
    </row>
    <row r="63" spans="3:9">
      <c r="C63" s="701"/>
      <c r="D63" s="698"/>
      <c r="E63" s="73" t="s">
        <v>10</v>
      </c>
      <c r="F63" s="229">
        <f>CEILING($F$59*(1+Наценки!F6), 10)</f>
        <v>140</v>
      </c>
      <c r="G63" s="121">
        <f>CEILING(H63*(1+Наценки!$H$13), 5)</f>
        <v>90</v>
      </c>
      <c r="H63" s="226">
        <f>CEILING(F63*(1-Наценки!$I$15), 5)</f>
        <v>90</v>
      </c>
      <c r="I63" s="121">
        <f>CEILING(H63*(1+Наценки!$J$13), 5)</f>
        <v>95</v>
      </c>
    </row>
    <row r="64" spans="3:9" ht="15.75" thickBot="1">
      <c r="C64" s="702"/>
      <c r="D64" s="699"/>
      <c r="E64" s="74" t="s">
        <v>11</v>
      </c>
      <c r="F64" s="237">
        <f>CEILING(155*(1+'!!!НАЦЕНКИ'!$B$3), 10)</f>
        <v>180</v>
      </c>
      <c r="G64" s="235">
        <f>CEILING(H64*(1+Наценки!$H$13), 5)</f>
        <v>105</v>
      </c>
      <c r="H64" s="236">
        <f>CEILING(F64*(1-Наценки!$I$15), 5)</f>
        <v>110</v>
      </c>
      <c r="I64" s="235">
        <f>CEILING(H64*(1+Наценки!$J$13), 5)</f>
        <v>120</v>
      </c>
    </row>
  </sheetData>
  <mergeCells count="27">
    <mergeCell ref="E45:E46"/>
    <mergeCell ref="F45:F46"/>
    <mergeCell ref="G45:I45"/>
    <mergeCell ref="C15:C26"/>
    <mergeCell ref="D15:D20"/>
    <mergeCell ref="D21:D26"/>
    <mergeCell ref="E4:I4"/>
    <mergeCell ref="D5:I5"/>
    <mergeCell ref="C9:C14"/>
    <mergeCell ref="D9:D14"/>
    <mergeCell ref="C7:C8"/>
    <mergeCell ref="D7:D8"/>
    <mergeCell ref="E7:E8"/>
    <mergeCell ref="F7:F8"/>
    <mergeCell ref="G7:I7"/>
    <mergeCell ref="D59:D64"/>
    <mergeCell ref="C47:C64"/>
    <mergeCell ref="C39:C44"/>
    <mergeCell ref="D39:D44"/>
    <mergeCell ref="C27:C32"/>
    <mergeCell ref="D27:D32"/>
    <mergeCell ref="C33:C38"/>
    <mergeCell ref="D33:D38"/>
    <mergeCell ref="D47:D52"/>
    <mergeCell ref="D53:D58"/>
    <mergeCell ref="C45:C46"/>
    <mergeCell ref="D45:D46"/>
  </mergeCells>
  <hyperlinks>
    <hyperlink ref="C6" location="Содержание!A1" display="Содержание"/>
  </hyperlinks>
  <pageMargins left="0.7" right="0.7" top="0.75" bottom="0.75" header="0.3" footer="0.3"/>
  <pageSetup paperSize="9" orientation="portrait" r:id="rId1"/>
  <rowBreaks count="1" manualBreakCount="1">
    <brk id="44" min="2" max="8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20"/>
  <sheetViews>
    <sheetView view="pageBreakPreview" zoomScale="98" zoomScaleNormal="100" zoomScaleSheetLayoutView="98" workbookViewId="0">
      <selection activeCell="I6" sqref="I6"/>
    </sheetView>
  </sheetViews>
  <sheetFormatPr defaultColWidth="12.42578125" defaultRowHeight="15" outlineLevelCol="1"/>
  <cols>
    <col min="1" max="1" width="2.140625" customWidth="1"/>
    <col min="2" max="2" width="2.42578125" customWidth="1"/>
    <col min="3" max="3" width="13.85546875" customWidth="1"/>
    <col min="4" max="4" width="16.140625" customWidth="1"/>
    <col min="5" max="5" width="9.42578125" bestFit="1" customWidth="1"/>
    <col min="6" max="7" width="10.42578125" hidden="1" customWidth="1" outlineLevel="1"/>
    <col min="8" max="8" width="10.42578125" style="12" customWidth="1" collapsed="1"/>
    <col min="9" max="9" width="10.42578125" customWidth="1"/>
    <col min="10" max="10" width="2.140625" customWidth="1"/>
  </cols>
  <sheetData>
    <row r="2" spans="3:13">
      <c r="D2" s="1"/>
      <c r="E2" s="2"/>
      <c r="F2" s="1"/>
      <c r="G2" s="1"/>
      <c r="H2" s="3"/>
      <c r="I2" s="1"/>
    </row>
    <row r="3" spans="3:13">
      <c r="D3" s="1"/>
      <c r="E3" s="4"/>
      <c r="F3" s="80"/>
      <c r="G3" s="80"/>
      <c r="H3" s="6"/>
      <c r="I3" s="80"/>
    </row>
    <row r="4" spans="3:13">
      <c r="D4" s="1"/>
      <c r="E4" s="682"/>
      <c r="F4" s="682"/>
      <c r="G4" s="682"/>
      <c r="H4" s="682"/>
      <c r="I4" s="682"/>
    </row>
    <row r="5" spans="3:13">
      <c r="D5" s="683"/>
      <c r="E5" s="683"/>
      <c r="F5" s="683"/>
      <c r="G5" s="683"/>
      <c r="H5" s="683"/>
      <c r="I5" s="683"/>
    </row>
    <row r="6" spans="3:13" ht="20.25">
      <c r="C6" s="7" t="s">
        <v>0</v>
      </c>
      <c r="E6" s="520"/>
      <c r="F6" s="520"/>
      <c r="G6" s="520"/>
      <c r="H6" s="520"/>
      <c r="I6" s="485">
        <f>Содержание!D1</f>
        <v>44697</v>
      </c>
    </row>
    <row r="7" spans="3:13" s="37" customFormat="1" ht="33.4" customHeight="1">
      <c r="C7" s="546" t="s">
        <v>1</v>
      </c>
      <c r="D7" s="546" t="s">
        <v>2</v>
      </c>
      <c r="E7" s="546" t="s">
        <v>3</v>
      </c>
      <c r="F7" s="553" t="s">
        <v>186</v>
      </c>
      <c r="G7" s="554" t="s">
        <v>187</v>
      </c>
      <c r="H7" s="554"/>
      <c r="I7" s="554"/>
      <c r="J7" s="77"/>
    </row>
    <row r="8" spans="3:13" s="37" customFormat="1" ht="33" customHeight="1">
      <c r="C8" s="546"/>
      <c r="D8" s="546"/>
      <c r="E8" s="546"/>
      <c r="F8" s="553"/>
      <c r="G8" s="176" t="s">
        <v>189</v>
      </c>
      <c r="H8" s="177" t="s">
        <v>190</v>
      </c>
      <c r="I8" s="176" t="s">
        <v>191</v>
      </c>
      <c r="J8" s="77"/>
    </row>
    <row r="9" spans="3:13" ht="21.95" customHeight="1">
      <c r="C9" s="720" t="s">
        <v>154</v>
      </c>
      <c r="D9" s="721"/>
      <c r="E9" s="71" t="s">
        <v>6</v>
      </c>
      <c r="F9" s="237">
        <f>CEILING(1350*(1+'!!!НАЦЕНКИ'!$B$4), 10)</f>
        <v>1600</v>
      </c>
      <c r="G9" s="121">
        <f>CEILING(H9*(1+Наценки!$H$13), 10)</f>
        <v>940</v>
      </c>
      <c r="H9" s="226">
        <f>CEILING(F9*(1-Наценки!$I$15), 10)</f>
        <v>980</v>
      </c>
      <c r="I9" s="121">
        <f>CEILING(H9*(1+Наценки!$J$13), 10)</f>
        <v>1030</v>
      </c>
      <c r="K9" s="81"/>
      <c r="L9" s="81"/>
      <c r="M9" s="81"/>
    </row>
    <row r="10" spans="3:13" ht="21.95" customHeight="1">
      <c r="C10" s="707"/>
      <c r="D10" s="722"/>
      <c r="E10" s="72" t="s">
        <v>7</v>
      </c>
      <c r="F10" s="227">
        <f>CEILING($F$9*(1+Наценки!F3), 10)</f>
        <v>1680</v>
      </c>
      <c r="G10" s="122">
        <f>CEILING(H10*(1+Наценки!$H$13), 10)</f>
        <v>980</v>
      </c>
      <c r="H10" s="228">
        <f>CEILING(F10*(1-Наценки!$I$15), 10)</f>
        <v>1030</v>
      </c>
      <c r="I10" s="122">
        <f>CEILING(H10*(1+Наценки!$J$13), 10)</f>
        <v>1090</v>
      </c>
    </row>
    <row r="11" spans="3:13" ht="21.95" customHeight="1">
      <c r="C11" s="707"/>
      <c r="D11" s="722"/>
      <c r="E11" s="73" t="s">
        <v>8</v>
      </c>
      <c r="F11" s="229">
        <f>CEILING($F$9*(1+Наценки!F4), 10)</f>
        <v>1760</v>
      </c>
      <c r="G11" s="121">
        <f>CEILING(H11*(1+Наценки!$H$13), 10)</f>
        <v>1030</v>
      </c>
      <c r="H11" s="226">
        <f>CEILING(F11*(1-Наценки!$I$15), 10)</f>
        <v>1080</v>
      </c>
      <c r="I11" s="121">
        <f>CEILING(H11*(1+Наценки!$J$13), 10)</f>
        <v>1140</v>
      </c>
    </row>
    <row r="12" spans="3:13" ht="21.95" customHeight="1">
      <c r="C12" s="707"/>
      <c r="D12" s="722"/>
      <c r="E12" s="115" t="s">
        <v>9</v>
      </c>
      <c r="F12" s="227">
        <f>CEILING($F$9*(1+Наценки!F5), 10)</f>
        <v>1840</v>
      </c>
      <c r="G12" s="122">
        <f>CEILING(H12*(1+Наценки!$H$13), 10)</f>
        <v>1080</v>
      </c>
      <c r="H12" s="228">
        <f>CEILING(F12*(1-Наценки!$I$15), 10)</f>
        <v>1130</v>
      </c>
      <c r="I12" s="122">
        <f>CEILING(H12*(1+Наценки!$J$13), 10)</f>
        <v>1190</v>
      </c>
    </row>
    <row r="13" spans="3:13" ht="21.95" customHeight="1">
      <c r="C13" s="707"/>
      <c r="D13" s="722"/>
      <c r="E13" s="116" t="s">
        <v>10</v>
      </c>
      <c r="F13" s="229">
        <f>CEILING($F$9*(1+Наценки!F6), 10)</f>
        <v>1920</v>
      </c>
      <c r="G13" s="121">
        <f>CEILING(H13*(1+Наценки!$H$13), 10)</f>
        <v>1130</v>
      </c>
      <c r="H13" s="226">
        <f>CEILING(F13*(1-Наценки!$I$15), 10)</f>
        <v>1180</v>
      </c>
      <c r="I13" s="121">
        <f>CEILING(H13*(1+Наценки!$J$13), 10)</f>
        <v>1240</v>
      </c>
    </row>
    <row r="14" spans="3:13" ht="21.95" customHeight="1" thickBot="1">
      <c r="C14" s="708"/>
      <c r="D14" s="723"/>
      <c r="E14" s="117" t="s">
        <v>11</v>
      </c>
      <c r="F14" s="237">
        <f>CEILING(1850*(1+'!!!НАЦЕНКИ'!$B$3), 10)</f>
        <v>2040</v>
      </c>
      <c r="G14" s="235">
        <f>CEILING(H14*(1+Наценки!$H$13), 10)</f>
        <v>1190</v>
      </c>
      <c r="H14" s="236">
        <f>CEILING(F14*(1-Наценки!$I$15), 10)</f>
        <v>1250</v>
      </c>
      <c r="I14" s="235">
        <f>CEILING(H14*(1+Наценки!$J$13), 10)</f>
        <v>1320</v>
      </c>
    </row>
    <row r="15" spans="3:13" ht="21.95" customHeight="1">
      <c r="C15" s="717" t="s">
        <v>153</v>
      </c>
      <c r="D15" s="718"/>
      <c r="E15" s="118" t="s">
        <v>6</v>
      </c>
      <c r="F15" s="237">
        <f>CEILING(750*(1+'!!!НАЦЕНКИ'!$B$4), 10)</f>
        <v>890</v>
      </c>
      <c r="G15" s="121">
        <f>CEILING(H15*(1+Наценки!$H$13), 10)</f>
        <v>530</v>
      </c>
      <c r="H15" s="226">
        <f>CEILING(F15*(1-Наценки!$I$15), 10)</f>
        <v>550</v>
      </c>
      <c r="I15" s="121">
        <f>CEILING(H15*(1+Наценки!$J$13), 10)</f>
        <v>580</v>
      </c>
    </row>
    <row r="16" spans="3:13" ht="21.95" customHeight="1">
      <c r="C16" s="706"/>
      <c r="D16" s="718"/>
      <c r="E16" s="115" t="s">
        <v>7</v>
      </c>
      <c r="F16" s="227">
        <f>CEILING($F$15*(1+Наценки!F3), 10)</f>
        <v>940</v>
      </c>
      <c r="G16" s="122">
        <f>CEILING(H16*(1+Наценки!$H$13), 10)</f>
        <v>560</v>
      </c>
      <c r="H16" s="228">
        <f>CEILING(F16*(1-Наценки!$I$15), 10)</f>
        <v>580</v>
      </c>
      <c r="I16" s="122">
        <f>CEILING(H16*(1+Наценки!$J$13), 10)</f>
        <v>610</v>
      </c>
    </row>
    <row r="17" spans="3:9" ht="21.95" customHeight="1">
      <c r="C17" s="706"/>
      <c r="D17" s="718"/>
      <c r="E17" s="116" t="s">
        <v>8</v>
      </c>
      <c r="F17" s="229">
        <f>CEILING($F$15*(1+Наценки!F4), 10)</f>
        <v>980</v>
      </c>
      <c r="G17" s="121">
        <f>CEILING(H17*(1+Наценки!$H$13), 10)</f>
        <v>570</v>
      </c>
      <c r="H17" s="226">
        <f>CEILING(F17*(1-Наценки!$I$15), 10)</f>
        <v>600</v>
      </c>
      <c r="I17" s="121">
        <f>CEILING(H17*(1+Наценки!$J$13), 10)</f>
        <v>630</v>
      </c>
    </row>
    <row r="18" spans="3:9" ht="21.95" customHeight="1">
      <c r="C18" s="706"/>
      <c r="D18" s="718"/>
      <c r="E18" s="115" t="s">
        <v>9</v>
      </c>
      <c r="F18" s="227">
        <f>CEILING($F$9*(1+Наценки!F5), 10)</f>
        <v>1840</v>
      </c>
      <c r="G18" s="122">
        <f>CEILING(H18*(1+Наценки!$H$13), 10)</f>
        <v>1080</v>
      </c>
      <c r="H18" s="228">
        <f>CEILING(F18*(1-Наценки!$I$15), 10)</f>
        <v>1130</v>
      </c>
      <c r="I18" s="122">
        <f>CEILING(H18*(1+Наценки!$J$13), 10)</f>
        <v>1190</v>
      </c>
    </row>
    <row r="19" spans="3:9" ht="21.95" customHeight="1">
      <c r="C19" s="706"/>
      <c r="D19" s="718"/>
      <c r="E19" s="116" t="s">
        <v>10</v>
      </c>
      <c r="F19" s="229">
        <f>CEILING($F$15*(1+Наценки!F6), 10)</f>
        <v>1070</v>
      </c>
      <c r="G19" s="121">
        <f>CEILING(H19*(1+Наценки!$H$13), 10)</f>
        <v>630</v>
      </c>
      <c r="H19" s="226">
        <f>CEILING(F19*(1-Наценки!$I$15), 10)</f>
        <v>660</v>
      </c>
      <c r="I19" s="121">
        <f>CEILING(H19*(1+Наценки!$J$13), 10)</f>
        <v>700</v>
      </c>
    </row>
    <row r="20" spans="3:9" ht="21.95" customHeight="1" thickBot="1">
      <c r="C20" s="716"/>
      <c r="D20" s="719"/>
      <c r="E20" s="117" t="s">
        <v>11</v>
      </c>
      <c r="F20" s="237">
        <f>CEILING(1400*(1+'!!!НАЦЕНКИ'!$B$3), 10)</f>
        <v>1540</v>
      </c>
      <c r="G20" s="235">
        <f>CEILING(H20*(1+Наценки!$H$13), 10)</f>
        <v>900</v>
      </c>
      <c r="H20" s="236">
        <f>CEILING(F20*(1-Наценки!$I$15), 10)</f>
        <v>940</v>
      </c>
      <c r="I20" s="235">
        <f>CEILING(H20*(1+Наценки!$J$13), 10)</f>
        <v>990</v>
      </c>
    </row>
  </sheetData>
  <mergeCells count="11">
    <mergeCell ref="C15:C20"/>
    <mergeCell ref="D15:D20"/>
    <mergeCell ref="E4:I4"/>
    <mergeCell ref="D5:I5"/>
    <mergeCell ref="C9:C14"/>
    <mergeCell ref="D9:D14"/>
    <mergeCell ref="C7:C8"/>
    <mergeCell ref="D7:D8"/>
    <mergeCell ref="E7:E8"/>
    <mergeCell ref="F7:F8"/>
    <mergeCell ref="G7:I7"/>
  </mergeCells>
  <hyperlinks>
    <hyperlink ref="C6" location="Содержание!A1" display="Содержание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J32"/>
  <sheetViews>
    <sheetView view="pageBreakPreview" zoomScale="90" zoomScaleSheetLayoutView="90" workbookViewId="0">
      <selection activeCell="I6" sqref="I6"/>
    </sheetView>
  </sheetViews>
  <sheetFormatPr defaultColWidth="12.42578125" defaultRowHeight="11.25" outlineLevelCol="1"/>
  <cols>
    <col min="1" max="2" width="2.42578125" style="17" customWidth="1"/>
    <col min="3" max="3" width="12.7109375" style="17" customWidth="1"/>
    <col min="4" max="4" width="17.28515625" style="17" customWidth="1"/>
    <col min="5" max="5" width="12.7109375" style="17" customWidth="1"/>
    <col min="6" max="7" width="10.42578125" style="17" hidden="1" customWidth="1" outlineLevel="1"/>
    <col min="8" max="8" width="10.42578125" style="53" customWidth="1" collapsed="1"/>
    <col min="9" max="9" width="10.42578125" style="17" customWidth="1"/>
    <col min="10" max="10" width="2.140625" style="17" customWidth="1"/>
    <col min="11" max="16384" width="12.42578125" style="17"/>
  </cols>
  <sheetData>
    <row r="2" spans="3:10">
      <c r="D2" s="30"/>
      <c r="E2" s="31"/>
      <c r="F2" s="30"/>
      <c r="G2" s="30"/>
      <c r="H2" s="32"/>
      <c r="I2" s="30"/>
    </row>
    <row r="3" spans="3:10" ht="12">
      <c r="D3" s="30"/>
      <c r="E3" s="33"/>
      <c r="F3" s="34"/>
      <c r="G3" s="34"/>
      <c r="H3" s="35"/>
      <c r="I3" s="34"/>
    </row>
    <row r="4" spans="3:10" ht="12.75" customHeight="1">
      <c r="D4" s="30"/>
      <c r="E4" s="555"/>
      <c r="F4" s="555"/>
      <c r="G4" s="555"/>
      <c r="H4" s="555"/>
      <c r="I4" s="555"/>
    </row>
    <row r="5" spans="3:10" ht="12.75" customHeight="1">
      <c r="D5" s="556"/>
      <c r="E5" s="556"/>
      <c r="F5" s="556"/>
      <c r="G5" s="556"/>
      <c r="H5" s="556"/>
      <c r="I5" s="556"/>
    </row>
    <row r="6" spans="3:10" ht="20.25">
      <c r="C6" s="7" t="s">
        <v>0</v>
      </c>
      <c r="E6" s="519"/>
      <c r="F6" s="519"/>
      <c r="G6" s="519"/>
      <c r="H6" s="519"/>
      <c r="I6" s="485">
        <f>Содержание!D1</f>
        <v>44697</v>
      </c>
    </row>
    <row r="7" spans="3:10" s="37" customFormat="1" ht="33.4" customHeight="1">
      <c r="C7" s="546" t="s">
        <v>1</v>
      </c>
      <c r="D7" s="546" t="s">
        <v>2</v>
      </c>
      <c r="E7" s="546" t="s">
        <v>3</v>
      </c>
      <c r="F7" s="553" t="s">
        <v>186</v>
      </c>
      <c r="G7" s="554" t="s">
        <v>187</v>
      </c>
      <c r="H7" s="554"/>
      <c r="I7" s="554"/>
      <c r="J7" s="77"/>
    </row>
    <row r="8" spans="3:10" s="37" customFormat="1" ht="33" customHeight="1">
      <c r="C8" s="546"/>
      <c r="D8" s="546"/>
      <c r="E8" s="546"/>
      <c r="F8" s="553"/>
      <c r="G8" s="176" t="s">
        <v>189</v>
      </c>
      <c r="H8" s="177" t="s">
        <v>190</v>
      </c>
      <c r="I8" s="176" t="s">
        <v>191</v>
      </c>
      <c r="J8" s="77"/>
    </row>
    <row r="9" spans="3:10" ht="22.15" customHeight="1">
      <c r="C9" s="726" t="s">
        <v>152</v>
      </c>
      <c r="D9" s="729" t="s">
        <v>132</v>
      </c>
      <c r="E9" s="104" t="s">
        <v>6</v>
      </c>
      <c r="F9" s="237">
        <f>CEILING(6400*(1+'!!!НАЦЕНКИ'!$B$4), 10)</f>
        <v>7560</v>
      </c>
      <c r="G9" s="121">
        <f>CEILING(H9*(1+Наценки!$H$13), 5)</f>
        <v>4380</v>
      </c>
      <c r="H9" s="226">
        <f>CEILING(F9*(1-Наценки!$I$15), 5)</f>
        <v>4610</v>
      </c>
      <c r="I9" s="121">
        <f>CEILING(H9*(1+Наценки!$J$13), 5)</f>
        <v>4845</v>
      </c>
    </row>
    <row r="10" spans="3:10" ht="22.15" customHeight="1">
      <c r="C10" s="727"/>
      <c r="D10" s="676"/>
      <c r="E10" s="112" t="s">
        <v>7</v>
      </c>
      <c r="F10" s="227">
        <f>CEILING($F$9*(1+Наценки!F3), 10)</f>
        <v>7940</v>
      </c>
      <c r="G10" s="122">
        <f>CEILING(H10*(1+Наценки!$H$13), 5)</f>
        <v>4605</v>
      </c>
      <c r="H10" s="228">
        <f>CEILING(F10*(1-Наценки!$I$15), 5)</f>
        <v>4845</v>
      </c>
      <c r="I10" s="122">
        <f>CEILING(H10*(1+Наценки!$J$13), 5)</f>
        <v>5090</v>
      </c>
    </row>
    <row r="11" spans="3:10" ht="22.15" customHeight="1">
      <c r="C11" s="727"/>
      <c r="D11" s="676"/>
      <c r="E11" s="104" t="s">
        <v>8</v>
      </c>
      <c r="F11" s="229">
        <f>CEILING($F$9*(1+Наценки!F4), 10)</f>
        <v>8320</v>
      </c>
      <c r="G11" s="121">
        <f>CEILING(H11*(1+Наценки!$H$13), 5)</f>
        <v>4825</v>
      </c>
      <c r="H11" s="226">
        <f>CEILING(F11*(1-Наценки!$I$15), 5)</f>
        <v>5075</v>
      </c>
      <c r="I11" s="121">
        <f>CEILING(H11*(1+Наценки!$J$13), 5)</f>
        <v>5330</v>
      </c>
    </row>
    <row r="12" spans="3:10" ht="22.15" customHeight="1">
      <c r="C12" s="727"/>
      <c r="D12" s="676"/>
      <c r="E12" s="112" t="s">
        <v>9</v>
      </c>
      <c r="F12" s="227">
        <f>CEILING($F$9*(1+Наценки!F5), 10)</f>
        <v>8700</v>
      </c>
      <c r="G12" s="122">
        <f>CEILING(H12*(1+Наценки!$H$13), 5)</f>
        <v>5040</v>
      </c>
      <c r="H12" s="228">
        <f>CEILING(F12*(1-Наценки!$I$15), 5)</f>
        <v>5305</v>
      </c>
      <c r="I12" s="122">
        <f>CEILING(H12*(1+Наценки!$J$13), 5)</f>
        <v>5575</v>
      </c>
    </row>
    <row r="13" spans="3:10" ht="22.15" customHeight="1">
      <c r="C13" s="727"/>
      <c r="D13" s="676"/>
      <c r="E13" s="104" t="s">
        <v>10</v>
      </c>
      <c r="F13" s="229">
        <f>CEILING($F$9*(1+Наценки!F6), 10)</f>
        <v>9080</v>
      </c>
      <c r="G13" s="121">
        <f>CEILING(H13*(1+Наценки!$H$13), 5)</f>
        <v>5265</v>
      </c>
      <c r="H13" s="226">
        <f>CEILING(F13*(1-Наценки!$I$15), 5)</f>
        <v>5540</v>
      </c>
      <c r="I13" s="121">
        <f>CEILING(H13*(1+Наценки!$J$13), 5)</f>
        <v>5820</v>
      </c>
    </row>
    <row r="14" spans="3:10" ht="22.15" customHeight="1" thickBot="1">
      <c r="C14" s="728"/>
      <c r="D14" s="677"/>
      <c r="E14" s="113" t="s">
        <v>11</v>
      </c>
      <c r="F14" s="237">
        <f>CEILING(8750*(1+'!!!НАЦЕНКИ'!$B$3), 10)</f>
        <v>9630</v>
      </c>
      <c r="G14" s="235">
        <f>CEILING(H14*(1+Наценки!$H$13), 5)</f>
        <v>5585</v>
      </c>
      <c r="H14" s="236">
        <f>CEILING(F14*(1-Наценки!$I$15), 5)</f>
        <v>5875</v>
      </c>
      <c r="I14" s="235">
        <f>CEILING(H14*(1+Наценки!$J$13), 5)</f>
        <v>6170</v>
      </c>
    </row>
    <row r="15" spans="3:10" ht="22.15" customHeight="1">
      <c r="C15" s="724" t="s">
        <v>133</v>
      </c>
      <c r="D15" s="676" t="s">
        <v>134</v>
      </c>
      <c r="E15" s="114" t="s">
        <v>6</v>
      </c>
      <c r="F15" s="237">
        <f>CEILING(1850*(1+'!!!НАЦЕНКИ'!$B$4), 10)</f>
        <v>2190</v>
      </c>
      <c r="G15" s="121">
        <f>CEILING(H15*(1+Наценки!$H$13), 5)</f>
        <v>1275</v>
      </c>
      <c r="H15" s="226">
        <f>CEILING(F15*(1-Наценки!$I$15), 5)</f>
        <v>1340</v>
      </c>
      <c r="I15" s="121">
        <f>CEILING(H15*(1+Наценки!$J$13), 5)</f>
        <v>1410</v>
      </c>
    </row>
    <row r="16" spans="3:10" ht="22.15" customHeight="1">
      <c r="C16" s="727"/>
      <c r="D16" s="676"/>
      <c r="E16" s="112" t="s">
        <v>7</v>
      </c>
      <c r="F16" s="227">
        <f>CEILING($F$15*(1+Наценки!F3), 10)</f>
        <v>2300</v>
      </c>
      <c r="G16" s="122">
        <f>CEILING(H16*(1+Наценки!$H$13), 5)</f>
        <v>1335</v>
      </c>
      <c r="H16" s="228">
        <f>CEILING(F16*(1-Наценки!$I$15), 5)</f>
        <v>1405</v>
      </c>
      <c r="I16" s="122">
        <f>CEILING(H16*(1+Наценки!$J$13), 5)</f>
        <v>1480</v>
      </c>
    </row>
    <row r="17" spans="3:9" ht="22.15" customHeight="1">
      <c r="C17" s="727"/>
      <c r="D17" s="676"/>
      <c r="E17" s="104" t="s">
        <v>8</v>
      </c>
      <c r="F17" s="229">
        <f>CEILING($F$15*(1+Наценки!F4), 10)</f>
        <v>2410</v>
      </c>
      <c r="G17" s="121">
        <f>CEILING(H17*(1+Наценки!$H$13), 5)</f>
        <v>1400</v>
      </c>
      <c r="H17" s="226">
        <f>CEILING(F17*(1-Наценки!$I$15), 5)</f>
        <v>1470</v>
      </c>
      <c r="I17" s="121">
        <f>CEILING(H17*(1+Наценки!$J$13), 5)</f>
        <v>1545</v>
      </c>
    </row>
    <row r="18" spans="3:9" ht="22.15" customHeight="1">
      <c r="C18" s="727"/>
      <c r="D18" s="676"/>
      <c r="E18" s="112" t="s">
        <v>9</v>
      </c>
      <c r="F18" s="227">
        <f>CEILING($F$15*(1+Наценки!F5), 10)</f>
        <v>2520</v>
      </c>
      <c r="G18" s="122">
        <f>CEILING(H18*(1+Наценки!$H$13), 5)</f>
        <v>1465</v>
      </c>
      <c r="H18" s="228">
        <f>CEILING(F18*(1-Наценки!$I$15), 5)</f>
        <v>1540</v>
      </c>
      <c r="I18" s="122">
        <f>CEILING(H18*(1+Наценки!$J$13), 5)</f>
        <v>1620</v>
      </c>
    </row>
    <row r="19" spans="3:9" ht="22.15" customHeight="1">
      <c r="C19" s="727"/>
      <c r="D19" s="676"/>
      <c r="E19" s="104" t="s">
        <v>10</v>
      </c>
      <c r="F19" s="229">
        <f>CEILING($F$15*(1+Наценки!F6), 10)</f>
        <v>2630</v>
      </c>
      <c r="G19" s="121">
        <f>CEILING(H19*(1+Наценки!$H$13), 5)</f>
        <v>1525</v>
      </c>
      <c r="H19" s="226">
        <f>CEILING(F19*(1-Наценки!$I$15), 5)</f>
        <v>1605</v>
      </c>
      <c r="I19" s="121">
        <f>CEILING(H19*(1+Наценки!$J$13), 5)</f>
        <v>1690</v>
      </c>
    </row>
    <row r="20" spans="3:9" ht="22.15" customHeight="1" thickBot="1">
      <c r="C20" s="728"/>
      <c r="D20" s="677"/>
      <c r="E20" s="113" t="s">
        <v>11</v>
      </c>
      <c r="F20" s="237">
        <f>CEILING(2650*(1+'!!!НАЦЕНКИ'!$B$3), 10)</f>
        <v>2920</v>
      </c>
      <c r="G20" s="235">
        <f>CEILING(H20*(1+Наценки!$H$13), 5)</f>
        <v>1700</v>
      </c>
      <c r="H20" s="236">
        <f>CEILING(F20*(1-Наценки!$I$15), 5)</f>
        <v>1785</v>
      </c>
      <c r="I20" s="235">
        <f>CEILING(H20*(1+Наценки!$J$13), 5)</f>
        <v>1875</v>
      </c>
    </row>
    <row r="21" spans="3:9" ht="22.15" customHeight="1">
      <c r="C21" s="724" t="s">
        <v>135</v>
      </c>
      <c r="D21" s="666" t="s">
        <v>136</v>
      </c>
      <c r="E21" s="114" t="s">
        <v>6</v>
      </c>
      <c r="F21" s="237">
        <f>CEILING(550*(1+'!!!НАЦЕНКИ'!$B$4), 10)</f>
        <v>650</v>
      </c>
      <c r="G21" s="121">
        <f>CEILING(H21*(1+Наценки!$H$13), 5)</f>
        <v>380</v>
      </c>
      <c r="H21" s="226">
        <f>CEILING(F21*(1-Наценки!$I$15), 5)</f>
        <v>400</v>
      </c>
      <c r="I21" s="121">
        <f>CEILING(H21*(1+Наценки!$J$13), 5)</f>
        <v>420</v>
      </c>
    </row>
    <row r="22" spans="3:9" ht="22.15" customHeight="1">
      <c r="C22" s="724"/>
      <c r="D22" s="666"/>
      <c r="E22" s="112" t="s">
        <v>7</v>
      </c>
      <c r="F22" s="227">
        <f>CEILING($F$21*(1+Наценки!F3), 10)</f>
        <v>690</v>
      </c>
      <c r="G22" s="122">
        <f>CEILING(H22*(1+Наценки!$H$13), 5)</f>
        <v>405</v>
      </c>
      <c r="H22" s="228">
        <f>CEILING(F22*(1-Наценки!$I$15), 5)</f>
        <v>425</v>
      </c>
      <c r="I22" s="122">
        <f>CEILING(H22*(1+Наценки!$J$13), 5)</f>
        <v>450</v>
      </c>
    </row>
    <row r="23" spans="3:9" ht="22.15" customHeight="1">
      <c r="C23" s="724"/>
      <c r="D23" s="666"/>
      <c r="E23" s="104" t="s">
        <v>8</v>
      </c>
      <c r="F23" s="229">
        <f>CEILING($F$21*(1+Наценки!F4), 10)</f>
        <v>720</v>
      </c>
      <c r="G23" s="121">
        <f>CEILING(H23*(1+Наценки!$H$13), 5)</f>
        <v>420</v>
      </c>
      <c r="H23" s="226">
        <f>CEILING(F23*(1-Наценки!$I$15), 5)</f>
        <v>440</v>
      </c>
      <c r="I23" s="121">
        <f>CEILING(H23*(1+Наценки!$J$13), 5)</f>
        <v>465</v>
      </c>
    </row>
    <row r="24" spans="3:9" ht="22.15" customHeight="1">
      <c r="C24" s="724"/>
      <c r="D24" s="666"/>
      <c r="E24" s="112" t="s">
        <v>9</v>
      </c>
      <c r="F24" s="227">
        <f>CEILING($F$21*(1+Наценки!F5), 10)</f>
        <v>750</v>
      </c>
      <c r="G24" s="122">
        <f>CEILING(H24*(1+Наценки!$H$13), 5)</f>
        <v>440</v>
      </c>
      <c r="H24" s="228">
        <f>CEILING(F24*(1-Наценки!$I$15), 5)</f>
        <v>460</v>
      </c>
      <c r="I24" s="122">
        <f>CEILING(H24*(1+Наценки!$J$13), 5)</f>
        <v>485</v>
      </c>
    </row>
    <row r="25" spans="3:9" ht="22.15" customHeight="1">
      <c r="C25" s="724"/>
      <c r="D25" s="666"/>
      <c r="E25" s="104" t="s">
        <v>10</v>
      </c>
      <c r="F25" s="229">
        <f>CEILING($F$21*(1+Наценки!F6), 10)</f>
        <v>780</v>
      </c>
      <c r="G25" s="121">
        <f>CEILING(H25*(1+Наценки!$H$13), 5)</f>
        <v>460</v>
      </c>
      <c r="H25" s="226">
        <f>CEILING(F25*(1-Наценки!$I$15), 5)</f>
        <v>480</v>
      </c>
      <c r="I25" s="121">
        <f>CEILING(H25*(1+Наценки!$J$13), 5)</f>
        <v>505</v>
      </c>
    </row>
    <row r="26" spans="3:9" ht="22.15" customHeight="1" thickBot="1">
      <c r="C26" s="724"/>
      <c r="D26" s="667"/>
      <c r="E26" s="113" t="s">
        <v>11</v>
      </c>
      <c r="F26" s="237">
        <f>CEILING(750*(1+'!!!НАЦЕНКИ'!$B$3), 10)</f>
        <v>830</v>
      </c>
      <c r="G26" s="235">
        <f>CEILING(H26*(1+Наценки!$H$13), 5)</f>
        <v>485</v>
      </c>
      <c r="H26" s="236">
        <f>CEILING(F26*(1-Наценки!$I$15), 5)</f>
        <v>510</v>
      </c>
      <c r="I26" s="235">
        <f>CEILING(H26*(1+Наценки!$J$13), 5)</f>
        <v>540</v>
      </c>
    </row>
    <row r="27" spans="3:9" ht="22.15" customHeight="1">
      <c r="C27" s="724"/>
      <c r="D27" s="666" t="s">
        <v>137</v>
      </c>
      <c r="E27" s="114" t="s">
        <v>6</v>
      </c>
      <c r="F27" s="237">
        <f>CEILING(880*(1+'!!!НАЦЕНКИ'!$B$4), 10)</f>
        <v>1040</v>
      </c>
      <c r="G27" s="121">
        <f>CEILING(H27*(1+Наценки!$H$13), 5)</f>
        <v>605</v>
      </c>
      <c r="H27" s="226">
        <f>CEILING(F27*(1-Наценки!$I$15), 5)</f>
        <v>635</v>
      </c>
      <c r="I27" s="121">
        <f>CEILING(H27*(1+Наценки!$J$13), 5)</f>
        <v>670</v>
      </c>
    </row>
    <row r="28" spans="3:9" ht="22.15" customHeight="1">
      <c r="C28" s="724"/>
      <c r="D28" s="666"/>
      <c r="E28" s="112" t="s">
        <v>7</v>
      </c>
      <c r="F28" s="227">
        <f>CEILING($F$27*(1+Наценки!F3), 10)</f>
        <v>1100</v>
      </c>
      <c r="G28" s="122">
        <f>CEILING(H28*(1+Наценки!$H$13), 5)</f>
        <v>645</v>
      </c>
      <c r="H28" s="228">
        <f>CEILING(F28*(1-Наценки!$I$15), 5)</f>
        <v>675</v>
      </c>
      <c r="I28" s="122">
        <f>CEILING(H28*(1+Наценки!$J$13), 5)</f>
        <v>710</v>
      </c>
    </row>
    <row r="29" spans="3:9" ht="22.15" customHeight="1">
      <c r="C29" s="724"/>
      <c r="D29" s="666"/>
      <c r="E29" s="104" t="s">
        <v>8</v>
      </c>
      <c r="F29" s="229">
        <f>CEILING($F$27*(1+Наценки!F4), 10)</f>
        <v>1150</v>
      </c>
      <c r="G29" s="121">
        <f>CEILING(H29*(1+Наценки!$H$13), 5)</f>
        <v>670</v>
      </c>
      <c r="H29" s="226">
        <f>CEILING(F29*(1-Наценки!$I$15), 5)</f>
        <v>705</v>
      </c>
      <c r="I29" s="121">
        <f>CEILING(H29*(1+Наценки!$J$13), 5)</f>
        <v>745</v>
      </c>
    </row>
    <row r="30" spans="3:9" ht="22.15" customHeight="1">
      <c r="C30" s="724"/>
      <c r="D30" s="666"/>
      <c r="E30" s="112" t="s">
        <v>9</v>
      </c>
      <c r="F30" s="227">
        <f>CEILING($F$27*(1+Наценки!F5), 10)</f>
        <v>1200</v>
      </c>
      <c r="G30" s="122">
        <f>CEILING(H30*(1+Наценки!$H$13), 5)</f>
        <v>700</v>
      </c>
      <c r="H30" s="228">
        <f>CEILING(F30*(1-Наценки!$I$15), 5)</f>
        <v>735</v>
      </c>
      <c r="I30" s="122">
        <f>CEILING(H30*(1+Наценки!$J$13), 5)</f>
        <v>775</v>
      </c>
    </row>
    <row r="31" spans="3:9" ht="22.15" customHeight="1">
      <c r="C31" s="724"/>
      <c r="D31" s="666"/>
      <c r="E31" s="104" t="s">
        <v>10</v>
      </c>
      <c r="F31" s="229">
        <f>CEILING($F$27*(1+Наценки!F6), 10)</f>
        <v>1250</v>
      </c>
      <c r="G31" s="121">
        <f>CEILING(H31*(1+Наценки!$H$13), 5)</f>
        <v>730</v>
      </c>
      <c r="H31" s="226">
        <f>CEILING(F31*(1-Наценки!$I$15), 5)</f>
        <v>765</v>
      </c>
      <c r="I31" s="121">
        <f>CEILING(H31*(1+Наценки!$J$13), 5)</f>
        <v>805</v>
      </c>
    </row>
    <row r="32" spans="3:9" ht="22.15" customHeight="1" thickBot="1">
      <c r="C32" s="725"/>
      <c r="D32" s="667"/>
      <c r="E32" s="113" t="s">
        <v>11</v>
      </c>
      <c r="F32" s="237">
        <f>CEILING(1100*(1+'!!!НАЦЕНКИ'!$B$3), 10)</f>
        <v>1210</v>
      </c>
      <c r="G32" s="235">
        <f>CEILING(H32*(1+Наценки!$H$13), 5)</f>
        <v>705</v>
      </c>
      <c r="H32" s="236">
        <f>CEILING(F32*(1-Наценки!$I$15), 5)</f>
        <v>740</v>
      </c>
      <c r="I32" s="235">
        <f>CEILING(H32*(1+Наценки!$J$13), 5)</f>
        <v>780</v>
      </c>
    </row>
  </sheetData>
  <sheetProtection selectLockedCells="1" selectUnlockedCells="1"/>
  <mergeCells count="14">
    <mergeCell ref="C21:C32"/>
    <mergeCell ref="D21:D26"/>
    <mergeCell ref="D27:D32"/>
    <mergeCell ref="E4:I4"/>
    <mergeCell ref="D5:I5"/>
    <mergeCell ref="C9:C14"/>
    <mergeCell ref="D9:D14"/>
    <mergeCell ref="C15:C20"/>
    <mergeCell ref="D15:D20"/>
    <mergeCell ref="C7:C8"/>
    <mergeCell ref="D7:D8"/>
    <mergeCell ref="E7:E8"/>
    <mergeCell ref="F7:F8"/>
    <mergeCell ref="G7:I7"/>
  </mergeCells>
  <hyperlinks>
    <hyperlink ref="C6" location="Содержание!A1" display="Содержание"/>
  </hyperlinks>
  <pageMargins left="0.25" right="0.25" top="0.75" bottom="0.75" header="0.3" footer="0.3"/>
  <pageSetup paperSize="9" firstPageNumber="0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35"/>
  <sheetViews>
    <sheetView view="pageBreakPreview" zoomScale="90" zoomScaleSheetLayoutView="90" workbookViewId="0">
      <selection activeCell="H46" sqref="H46"/>
    </sheetView>
  </sheetViews>
  <sheetFormatPr defaultColWidth="12.42578125" defaultRowHeight="15" outlineLevelCol="1"/>
  <cols>
    <col min="1" max="1" width="12.7109375" style="17" customWidth="1"/>
    <col min="2" max="2" width="17.28515625" style="17" customWidth="1"/>
    <col min="3" max="3" width="3.140625" style="143" bestFit="1" customWidth="1"/>
    <col min="4" max="5" width="5.7109375" style="17" customWidth="1"/>
    <col min="6" max="6" width="5.7109375" style="15" customWidth="1"/>
    <col min="7" max="7" width="12" style="17" hidden="1" customWidth="1" outlineLevel="1"/>
    <col min="8" max="8" width="12" style="147" hidden="1" customWidth="1" outlineLevel="1"/>
    <col min="9" max="9" width="12" style="479" hidden="1" customWidth="1" collapsed="1"/>
    <col min="10" max="10" width="12" style="53" customWidth="1"/>
    <col min="11" max="11" width="12" style="66" customWidth="1"/>
    <col min="12" max="12" width="12.28515625" style="17" hidden="1" customWidth="1"/>
    <col min="13" max="13" width="9.28515625" style="17" hidden="1" customWidth="1"/>
    <col min="14" max="14" width="9.85546875" style="17" hidden="1" customWidth="1"/>
    <col min="15" max="15" width="9.28515625" style="17" hidden="1" customWidth="1"/>
    <col min="16" max="16384" width="12.42578125" style="17"/>
  </cols>
  <sheetData>
    <row r="1" spans="1:17" ht="15" customHeight="1"/>
    <row r="2" spans="1:17">
      <c r="B2" s="30"/>
      <c r="C2" s="142"/>
      <c r="D2" s="31"/>
      <c r="E2" s="31"/>
      <c r="F2" s="13"/>
      <c r="G2" s="30"/>
      <c r="H2" s="145"/>
      <c r="I2" s="480"/>
      <c r="J2" s="32"/>
      <c r="K2" s="60"/>
    </row>
    <row r="3" spans="1:17" ht="12">
      <c r="B3" s="30"/>
      <c r="C3" s="142"/>
      <c r="D3" s="33"/>
      <c r="E3" s="33"/>
      <c r="F3" s="14"/>
      <c r="G3" s="461"/>
      <c r="H3" s="146"/>
      <c r="I3" s="481"/>
      <c r="J3" s="35"/>
      <c r="K3" s="461"/>
    </row>
    <row r="4" spans="1:17" ht="12">
      <c r="B4" s="30"/>
      <c r="C4" s="142"/>
      <c r="D4" s="33"/>
      <c r="E4" s="33"/>
      <c r="F4" s="14"/>
      <c r="G4" s="461"/>
      <c r="H4" s="146"/>
      <c r="I4" s="481"/>
      <c r="J4" s="35"/>
      <c r="K4" s="461"/>
    </row>
    <row r="5" spans="1:17" ht="12.75" customHeight="1">
      <c r="B5" s="30"/>
      <c r="C5" s="142"/>
      <c r="D5" s="555"/>
      <c r="E5" s="555"/>
      <c r="F5" s="555"/>
      <c r="G5" s="555"/>
      <c r="H5" s="555"/>
      <c r="I5" s="555"/>
      <c r="J5" s="555"/>
      <c r="K5" s="555"/>
    </row>
    <row r="6" spans="1:17" ht="20.25">
      <c r="A6" s="7" t="s">
        <v>0</v>
      </c>
      <c r="D6" s="482"/>
      <c r="E6" s="482"/>
      <c r="F6" s="482"/>
      <c r="G6" s="482"/>
      <c r="H6" s="483"/>
      <c r="I6" s="484"/>
      <c r="J6" s="482"/>
      <c r="K6" s="485">
        <f>Содержание!D1</f>
        <v>44697</v>
      </c>
    </row>
    <row r="7" spans="1:17" ht="10.5" customHeight="1">
      <c r="A7" s="559" t="s">
        <v>1</v>
      </c>
      <c r="B7" s="559" t="s">
        <v>2</v>
      </c>
      <c r="C7" s="486"/>
      <c r="D7" s="736" t="s">
        <v>165</v>
      </c>
      <c r="E7" s="736"/>
      <c r="F7" s="736"/>
      <c r="G7" s="557" t="s">
        <v>186</v>
      </c>
      <c r="H7" s="558" t="s">
        <v>187</v>
      </c>
      <c r="I7" s="558"/>
      <c r="J7" s="558"/>
      <c r="K7" s="558"/>
      <c r="L7" s="751" t="s">
        <v>188</v>
      </c>
      <c r="M7" s="743" t="s">
        <v>224</v>
      </c>
      <c r="N7" s="745" t="s">
        <v>221</v>
      </c>
      <c r="O7" s="746"/>
    </row>
    <row r="8" spans="1:17" s="37" customFormat="1" ht="33.4" customHeight="1">
      <c r="A8" s="559"/>
      <c r="B8" s="559"/>
      <c r="C8" s="487"/>
      <c r="D8" s="110" t="s">
        <v>166</v>
      </c>
      <c r="E8" s="108" t="s">
        <v>167</v>
      </c>
      <c r="F8" s="109" t="s">
        <v>168</v>
      </c>
      <c r="G8" s="557"/>
      <c r="H8" s="451" t="s">
        <v>189</v>
      </c>
      <c r="I8" s="488"/>
      <c r="J8" s="489" t="s">
        <v>190</v>
      </c>
      <c r="K8" s="490" t="s">
        <v>191</v>
      </c>
      <c r="L8" s="751"/>
      <c r="M8" s="744"/>
      <c r="N8" s="251" t="s">
        <v>222</v>
      </c>
      <c r="O8" s="251" t="s">
        <v>223</v>
      </c>
    </row>
    <row r="9" spans="1:17" ht="45" customHeight="1">
      <c r="A9" s="491" t="s">
        <v>162</v>
      </c>
      <c r="B9" s="737"/>
      <c r="C9" s="739" t="s">
        <v>11</v>
      </c>
      <c r="D9" s="492" t="s">
        <v>164</v>
      </c>
      <c r="E9" s="493">
        <v>39</v>
      </c>
      <c r="F9" s="494">
        <v>2000</v>
      </c>
      <c r="G9" s="468">
        <f>CEILING(J9*1.5, 50)</f>
        <v>9900</v>
      </c>
      <c r="H9" s="365">
        <f>CEILING(J9*(1+[1]Наценки!$H$22), 5)</f>
        <v>6265</v>
      </c>
      <c r="I9" s="495">
        <v>5990</v>
      </c>
      <c r="J9" s="366">
        <f>CEILING(I9*(1+'!!!НАЦЕНКИ'!$B$3), 10)</f>
        <v>6590</v>
      </c>
      <c r="K9" s="365">
        <f>CEILING(J9*(1+[1]Наценки!$J$22), 10)</f>
        <v>6920</v>
      </c>
      <c r="L9" s="365">
        <f>CEILING(J9*(1+[1]Наценки!$K$22), 10)</f>
        <v>7910</v>
      </c>
      <c r="M9" s="252">
        <f>G9-L9</f>
        <v>1990</v>
      </c>
      <c r="N9" s="252">
        <f>L9-H9</f>
        <v>1645</v>
      </c>
      <c r="O9" s="252">
        <f>L9-J9</f>
        <v>1320</v>
      </c>
      <c r="Q9" s="286"/>
    </row>
    <row r="10" spans="1:17" ht="45" customHeight="1">
      <c r="A10" s="496" t="s">
        <v>163</v>
      </c>
      <c r="B10" s="738"/>
      <c r="C10" s="740"/>
      <c r="D10" s="497" t="s">
        <v>164</v>
      </c>
      <c r="E10" s="498">
        <v>59</v>
      </c>
      <c r="F10" s="499">
        <v>2000</v>
      </c>
      <c r="G10" s="468">
        <f t="shared" ref="G10:G12" si="0">CEILING(J10*1.5, 50)</f>
        <v>11750</v>
      </c>
      <c r="H10" s="365">
        <f>CEILING(J10*(1+[1]Наценки!$H$22), 10)</f>
        <v>7420</v>
      </c>
      <c r="I10" s="495">
        <v>7100</v>
      </c>
      <c r="J10" s="366">
        <f>CEILING(I10*(1+'!!!НАЦЕНКИ'!$B$3), 10)</f>
        <v>7810</v>
      </c>
      <c r="K10" s="365">
        <f>CEILING(J10*(1+[1]Наценки!$J$22), 10)</f>
        <v>8210</v>
      </c>
      <c r="L10" s="365">
        <f>CEILING(J10*(1+[1]Наценки!$K$22), 10)</f>
        <v>9380</v>
      </c>
      <c r="M10" s="252">
        <f t="shared" ref="M10:M17" si="1">G10-L10</f>
        <v>2370</v>
      </c>
      <c r="N10" s="252">
        <f t="shared" ref="N10:N17" si="2">L10-H10</f>
        <v>1960</v>
      </c>
      <c r="O10" s="252">
        <f t="shared" ref="O10:O17" si="3">L10-J10</f>
        <v>1570</v>
      </c>
      <c r="Q10" s="286"/>
    </row>
    <row r="11" spans="1:17" ht="45" customHeight="1">
      <c r="A11" s="741" t="s">
        <v>138</v>
      </c>
      <c r="B11" s="737"/>
      <c r="C11" s="500" t="s">
        <v>184</v>
      </c>
      <c r="D11" s="742">
        <v>47.3</v>
      </c>
      <c r="E11" s="735">
        <v>59</v>
      </c>
      <c r="F11" s="748">
        <v>2000</v>
      </c>
      <c r="G11" s="468">
        <f t="shared" si="0"/>
        <v>10950</v>
      </c>
      <c r="H11" s="365">
        <f>CEILING(J11*(1+[1]Наценки!$H$22), 10)</f>
        <v>6910</v>
      </c>
      <c r="I11" s="495">
        <v>5590</v>
      </c>
      <c r="J11" s="366">
        <f>CEILING(I11*(1+'!!!НАЦЕНКИ'!$B$5), 10)</f>
        <v>7270</v>
      </c>
      <c r="K11" s="365">
        <f>CEILING(J11*(1+[1]Наценки!$J$22), 10)</f>
        <v>7640</v>
      </c>
      <c r="L11" s="365">
        <f>CEILING(J11*(1+[1]Наценки!$K$22), 10)</f>
        <v>8730</v>
      </c>
      <c r="M11" s="252">
        <f t="shared" si="1"/>
        <v>2220</v>
      </c>
      <c r="N11" s="252">
        <f t="shared" si="2"/>
        <v>1820</v>
      </c>
      <c r="O11" s="252">
        <f t="shared" si="3"/>
        <v>1460</v>
      </c>
      <c r="Q11" s="286"/>
    </row>
    <row r="12" spans="1:17" ht="45" customHeight="1">
      <c r="A12" s="741"/>
      <c r="B12" s="737"/>
      <c r="C12" s="500" t="s">
        <v>185</v>
      </c>
      <c r="D12" s="742"/>
      <c r="E12" s="735"/>
      <c r="F12" s="748"/>
      <c r="G12" s="468">
        <f t="shared" si="0"/>
        <v>14250</v>
      </c>
      <c r="H12" s="365">
        <f>CEILING(J12*(1+[1]Наценки!$H$22), 50)</f>
        <v>9050</v>
      </c>
      <c r="I12" s="495">
        <v>7300</v>
      </c>
      <c r="J12" s="366">
        <f>CEILING(I12*(1+'!!!НАЦЕНКИ'!$B$5), 10)</f>
        <v>9490</v>
      </c>
      <c r="K12" s="365">
        <f>CEILING(J12*(1+[1]Наценки!$J$22), 10)</f>
        <v>9970</v>
      </c>
      <c r="L12" s="365">
        <f>CEILING(J12*(1+[1]Наценки!$K$22), 10)</f>
        <v>11390</v>
      </c>
      <c r="M12" s="252">
        <f t="shared" si="1"/>
        <v>2860</v>
      </c>
      <c r="N12" s="252">
        <f t="shared" si="2"/>
        <v>2340</v>
      </c>
      <c r="O12" s="252">
        <f t="shared" si="3"/>
        <v>1900</v>
      </c>
      <c r="Q12" s="286"/>
    </row>
    <row r="13" spans="1:17" ht="27" customHeight="1">
      <c r="A13" s="103"/>
      <c r="B13" s="139"/>
      <c r="C13" s="139"/>
      <c r="D13" s="139"/>
      <c r="E13" s="139"/>
      <c r="F13" s="139"/>
      <c r="G13" s="139"/>
      <c r="H13" s="238"/>
      <c r="I13" s="501"/>
      <c r="J13" s="239"/>
      <c r="K13" s="144"/>
      <c r="L13" s="144"/>
      <c r="M13" s="252">
        <f t="shared" si="1"/>
        <v>0</v>
      </c>
      <c r="N13" s="252">
        <f t="shared" si="2"/>
        <v>0</v>
      </c>
      <c r="O13" s="252">
        <f t="shared" si="3"/>
        <v>0</v>
      </c>
    </row>
    <row r="14" spans="1:17" ht="45" customHeight="1">
      <c r="A14" s="741" t="s">
        <v>139</v>
      </c>
      <c r="B14" s="737"/>
      <c r="C14" s="500" t="s">
        <v>184</v>
      </c>
      <c r="D14" s="502" t="s">
        <v>22</v>
      </c>
      <c r="E14" s="503" t="s">
        <v>22</v>
      </c>
      <c r="F14" s="504" t="s">
        <v>22</v>
      </c>
      <c r="G14" s="468">
        <f>CEILING(J14*1.3, 25)</f>
        <v>1775</v>
      </c>
      <c r="H14" s="365">
        <f>CEILING(J14*(1+[1]Наценки!$H$31), 5)</f>
        <v>1350</v>
      </c>
      <c r="I14" s="495">
        <v>1230</v>
      </c>
      <c r="J14" s="366">
        <f>ф!C5</f>
        <v>1350</v>
      </c>
      <c r="K14" s="365">
        <f>CEILING(J14*(1+[1]Наценки!$J$31), 5)</f>
        <v>1405</v>
      </c>
      <c r="L14" s="365">
        <f>CEILING(J14*(1+[1]Наценки!$K$31), 5)</f>
        <v>1555</v>
      </c>
      <c r="M14" s="252">
        <f t="shared" si="1"/>
        <v>220</v>
      </c>
      <c r="N14" s="252">
        <f t="shared" si="2"/>
        <v>205</v>
      </c>
      <c r="O14" s="252">
        <f t="shared" si="3"/>
        <v>205</v>
      </c>
    </row>
    <row r="15" spans="1:17" ht="45" customHeight="1">
      <c r="A15" s="741"/>
      <c r="B15" s="737"/>
      <c r="C15" s="500" t="s">
        <v>185</v>
      </c>
      <c r="D15" s="502" t="s">
        <v>22</v>
      </c>
      <c r="E15" s="503" t="s">
        <v>22</v>
      </c>
      <c r="F15" s="504" t="s">
        <v>22</v>
      </c>
      <c r="G15" s="468">
        <f t="shared" ref="G15:G17" si="4">CEILING(J15*1.3, 25)</f>
        <v>2425</v>
      </c>
      <c r="H15" s="365">
        <f>CEILING(J15*(1+[1]Наценки!$H$31), 5)</f>
        <v>1850</v>
      </c>
      <c r="I15" s="495">
        <v>1690</v>
      </c>
      <c r="J15" s="366">
        <f>ф!C6</f>
        <v>1850</v>
      </c>
      <c r="K15" s="365">
        <f>CEILING(J15*(1+[1]Наценки!$J$31), 5)</f>
        <v>1925</v>
      </c>
      <c r="L15" s="365">
        <f>CEILING(J15*(1+[1]Наценки!$K$31), 5)</f>
        <v>2130</v>
      </c>
      <c r="M15" s="252">
        <f t="shared" si="1"/>
        <v>295</v>
      </c>
      <c r="N15" s="252">
        <f t="shared" si="2"/>
        <v>280</v>
      </c>
      <c r="O15" s="252">
        <f t="shared" si="3"/>
        <v>280</v>
      </c>
    </row>
    <row r="16" spans="1:17" ht="45" customHeight="1">
      <c r="A16" s="741" t="s">
        <v>140</v>
      </c>
      <c r="B16" s="737"/>
      <c r="C16" s="500" t="s">
        <v>184</v>
      </c>
      <c r="D16" s="502" t="s">
        <v>22</v>
      </c>
      <c r="E16" s="503" t="s">
        <v>22</v>
      </c>
      <c r="F16" s="504" t="s">
        <v>22</v>
      </c>
      <c r="G16" s="468">
        <f>CEILING(J16*1.3, 50)</f>
        <v>550</v>
      </c>
      <c r="H16" s="365">
        <f>CEILING(J16*(1+[1]Наценки!$H$31), 5)</f>
        <v>400</v>
      </c>
      <c r="I16" s="495">
        <v>405</v>
      </c>
      <c r="J16" s="366">
        <f>ф!C7</f>
        <v>400</v>
      </c>
      <c r="K16" s="365">
        <f>CEILING(J16*(1+[1]Наценки!$J$31), 5)</f>
        <v>420</v>
      </c>
      <c r="L16" s="365">
        <f>CEILING(J16*(1+[1]Наценки!$K$31), 5)</f>
        <v>460</v>
      </c>
      <c r="M16" s="252">
        <f t="shared" si="1"/>
        <v>90</v>
      </c>
      <c r="N16" s="252">
        <f t="shared" si="2"/>
        <v>60</v>
      </c>
      <c r="O16" s="252">
        <f t="shared" si="3"/>
        <v>60</v>
      </c>
    </row>
    <row r="17" spans="1:15" ht="45" customHeight="1">
      <c r="A17" s="741"/>
      <c r="B17" s="737"/>
      <c r="C17" s="500" t="s">
        <v>185</v>
      </c>
      <c r="D17" s="502" t="s">
        <v>22</v>
      </c>
      <c r="E17" s="503" t="s">
        <v>22</v>
      </c>
      <c r="F17" s="504" t="s">
        <v>22</v>
      </c>
      <c r="G17" s="468">
        <f t="shared" si="4"/>
        <v>600</v>
      </c>
      <c r="H17" s="365">
        <f>CEILING(J17*(1+[1]Наценки!$H$31), 5)</f>
        <v>450</v>
      </c>
      <c r="I17" s="495">
        <v>450</v>
      </c>
      <c r="J17" s="366">
        <f>ф!C8</f>
        <v>450</v>
      </c>
      <c r="K17" s="365">
        <f>CEILING(J17*(1+[1]Наценки!$J$31), 5)</f>
        <v>470</v>
      </c>
      <c r="L17" s="365">
        <f>CEILING(J17*(1+[1]Наценки!$K$31), 5)</f>
        <v>520</v>
      </c>
      <c r="M17" s="252">
        <f t="shared" si="1"/>
        <v>80</v>
      </c>
      <c r="N17" s="252">
        <f t="shared" si="2"/>
        <v>70</v>
      </c>
      <c r="O17" s="252">
        <f t="shared" si="3"/>
        <v>70</v>
      </c>
    </row>
    <row r="18" spans="1:15" ht="12.75">
      <c r="A18" s="747" t="s">
        <v>355</v>
      </c>
      <c r="B18" s="747"/>
      <c r="C18" s="747"/>
      <c r="D18" s="747"/>
      <c r="E18" s="747"/>
      <c r="F18" s="747"/>
      <c r="G18" s="505">
        <f>G14*2+G16</f>
        <v>4100</v>
      </c>
      <c r="H18" s="506">
        <f t="shared" ref="H18:O19" si="5">H14*2+H16</f>
        <v>3100</v>
      </c>
      <c r="I18" s="507">
        <f t="shared" si="5"/>
        <v>2865</v>
      </c>
      <c r="J18" s="508">
        <f t="shared" si="5"/>
        <v>3100</v>
      </c>
      <c r="K18" s="505">
        <f t="shared" si="5"/>
        <v>3230</v>
      </c>
      <c r="L18" s="505">
        <f t="shared" si="5"/>
        <v>3570</v>
      </c>
      <c r="M18" s="505">
        <f t="shared" si="5"/>
        <v>530</v>
      </c>
      <c r="N18" s="505">
        <f t="shared" si="5"/>
        <v>470</v>
      </c>
      <c r="O18" s="505">
        <f t="shared" si="5"/>
        <v>470</v>
      </c>
    </row>
    <row r="19" spans="1:15" ht="12.75">
      <c r="A19" s="747" t="s">
        <v>356</v>
      </c>
      <c r="B19" s="747"/>
      <c r="C19" s="747"/>
      <c r="D19" s="747"/>
      <c r="E19" s="747"/>
      <c r="F19" s="747"/>
      <c r="G19" s="505">
        <f>G15*2+G17</f>
        <v>5450</v>
      </c>
      <c r="H19" s="506">
        <f t="shared" si="5"/>
        <v>4150</v>
      </c>
      <c r="I19" s="507">
        <f t="shared" si="5"/>
        <v>3830</v>
      </c>
      <c r="J19" s="508">
        <f t="shared" si="5"/>
        <v>4150</v>
      </c>
      <c r="K19" s="505">
        <f t="shared" si="5"/>
        <v>4320</v>
      </c>
      <c r="L19" s="505">
        <f t="shared" si="5"/>
        <v>4780</v>
      </c>
      <c r="M19" s="505">
        <f t="shared" si="5"/>
        <v>670</v>
      </c>
      <c r="N19" s="505">
        <f t="shared" si="5"/>
        <v>630</v>
      </c>
      <c r="O19" s="505">
        <f t="shared" si="5"/>
        <v>630</v>
      </c>
    </row>
    <row r="20" spans="1:15" ht="12.75" customHeight="1">
      <c r="A20" s="730"/>
      <c r="B20" s="730"/>
      <c r="C20" s="730"/>
      <c r="D20" s="730"/>
      <c r="E20" s="730"/>
      <c r="F20" s="730"/>
      <c r="G20" s="730"/>
      <c r="H20" s="730"/>
      <c r="I20" s="730"/>
      <c r="J20" s="730"/>
      <c r="K20" s="730"/>
      <c r="L20" s="730"/>
      <c r="M20" s="254">
        <f>M18/G18</f>
        <v>0.12926829268292683</v>
      </c>
      <c r="N20" s="254">
        <f>N18/H18</f>
        <v>0.15161290322580645</v>
      </c>
      <c r="O20" s="254">
        <f>O18/J18</f>
        <v>0.15161290322580645</v>
      </c>
    </row>
    <row r="21" spans="1:15" ht="33" customHeight="1">
      <c r="A21" s="747" t="s">
        <v>357</v>
      </c>
      <c r="B21" s="747"/>
      <c r="C21" s="747"/>
      <c r="D21" s="747"/>
      <c r="E21" s="747"/>
      <c r="F21" s="747"/>
      <c r="G21" s="505">
        <f t="shared" ref="G21:I22" si="6">G14*3+G16</f>
        <v>5875</v>
      </c>
      <c r="H21" s="506">
        <f t="shared" si="6"/>
        <v>4450</v>
      </c>
      <c r="I21" s="507">
        <f t="shared" si="6"/>
        <v>4095</v>
      </c>
      <c r="J21" s="508">
        <f>J14*3+J16</f>
        <v>4450</v>
      </c>
      <c r="K21" s="505">
        <f>K14*3+K16</f>
        <v>4635</v>
      </c>
      <c r="L21" s="505">
        <f t="shared" ref="L21:O22" si="7">L17*2+L19</f>
        <v>5820</v>
      </c>
      <c r="M21" s="505">
        <f t="shared" si="7"/>
        <v>830</v>
      </c>
      <c r="N21" s="505">
        <f t="shared" si="7"/>
        <v>770</v>
      </c>
      <c r="O21" s="505">
        <f t="shared" si="7"/>
        <v>770</v>
      </c>
    </row>
    <row r="22" spans="1:15" ht="33" customHeight="1">
      <c r="A22" s="747" t="s">
        <v>358</v>
      </c>
      <c r="B22" s="747"/>
      <c r="C22" s="747"/>
      <c r="D22" s="747"/>
      <c r="E22" s="747"/>
      <c r="F22" s="747"/>
      <c r="G22" s="505">
        <f t="shared" si="6"/>
        <v>7875</v>
      </c>
      <c r="H22" s="506">
        <f t="shared" si="6"/>
        <v>6000</v>
      </c>
      <c r="I22" s="507">
        <f t="shared" si="6"/>
        <v>5520</v>
      </c>
      <c r="J22" s="508">
        <f>J15*3+J17</f>
        <v>6000</v>
      </c>
      <c r="K22" s="505">
        <f>K15*3+K17</f>
        <v>6245</v>
      </c>
      <c r="L22" s="505">
        <f t="shared" si="7"/>
        <v>7140</v>
      </c>
      <c r="M22" s="505">
        <f t="shared" si="7"/>
        <v>1060.129268292683</v>
      </c>
      <c r="N22" s="505">
        <f t="shared" si="7"/>
        <v>940.15161290322578</v>
      </c>
      <c r="O22" s="505">
        <f t="shared" si="7"/>
        <v>940.15161290322578</v>
      </c>
    </row>
    <row r="23" spans="1:15" ht="11.25">
      <c r="A23" s="730"/>
      <c r="B23" s="730"/>
      <c r="C23" s="730"/>
      <c r="D23" s="730"/>
      <c r="E23" s="730"/>
      <c r="F23" s="730"/>
      <c r="G23" s="730"/>
      <c r="H23" s="730"/>
      <c r="I23" s="730"/>
      <c r="J23" s="730"/>
      <c r="K23" s="730"/>
      <c r="L23" s="730"/>
      <c r="M23" s="254">
        <f>M21/G21</f>
        <v>0.14127659574468085</v>
      </c>
      <c r="N23" s="254">
        <f>N21/H21</f>
        <v>0.17303370786516853</v>
      </c>
      <c r="O23" s="254">
        <f>O21/J21</f>
        <v>0.17303370786516853</v>
      </c>
    </row>
    <row r="24" spans="1:15" ht="31.5" customHeight="1">
      <c r="A24" s="731" t="s">
        <v>192</v>
      </c>
      <c r="B24" s="731"/>
      <c r="C24" s="731"/>
      <c r="D24" s="731"/>
      <c r="E24" s="731"/>
      <c r="F24" s="731"/>
      <c r="G24" s="509">
        <f t="shared" ref="G24:O24" si="8">G9+G11+G14*2+G16</f>
        <v>24950</v>
      </c>
      <c r="H24" s="510">
        <f t="shared" si="8"/>
        <v>16275</v>
      </c>
      <c r="I24" s="511">
        <f t="shared" si="8"/>
        <v>14445</v>
      </c>
      <c r="J24" s="509">
        <f t="shared" si="8"/>
        <v>16960</v>
      </c>
      <c r="K24" s="512">
        <f t="shared" si="8"/>
        <v>17790</v>
      </c>
      <c r="L24" s="512">
        <f t="shared" si="8"/>
        <v>20210</v>
      </c>
      <c r="M24" s="512">
        <f t="shared" si="8"/>
        <v>4740</v>
      </c>
      <c r="N24" s="512">
        <f t="shared" si="8"/>
        <v>3935</v>
      </c>
      <c r="O24" s="512">
        <f t="shared" si="8"/>
        <v>3250</v>
      </c>
    </row>
    <row r="25" spans="1:15" s="66" customFormat="1" ht="33" customHeight="1">
      <c r="A25" s="732" t="s">
        <v>193</v>
      </c>
      <c r="B25" s="733"/>
      <c r="C25" s="733"/>
      <c r="D25" s="733"/>
      <c r="E25" s="733"/>
      <c r="F25" s="734"/>
      <c r="G25" s="512">
        <f>G10+G12+G15*2+G17</f>
        <v>31450</v>
      </c>
      <c r="H25" s="510">
        <f>H9+H12+H15*2+H17</f>
        <v>19465</v>
      </c>
      <c r="I25" s="511">
        <f>I9+I12+I15*2+I17</f>
        <v>17120</v>
      </c>
      <c r="J25" s="513">
        <f>J9+J12+J15*2+J17</f>
        <v>20230</v>
      </c>
      <c r="K25" s="510">
        <f>K9+K12+K15*2+K17</f>
        <v>21210</v>
      </c>
      <c r="L25" s="510">
        <f>L9+L12+L15*2+L17</f>
        <v>24080</v>
      </c>
      <c r="M25" s="510">
        <f t="shared" ref="M25:O25" si="9">M9+M12+M15*2+M17</f>
        <v>5520</v>
      </c>
      <c r="N25" s="510">
        <f t="shared" si="9"/>
        <v>4615</v>
      </c>
      <c r="O25" s="510">
        <f t="shared" si="9"/>
        <v>3850</v>
      </c>
    </row>
    <row r="26" spans="1:15">
      <c r="M26" s="254">
        <f>M24/G24</f>
        <v>0.18997995991983968</v>
      </c>
      <c r="N26" s="254">
        <f>N24/H24</f>
        <v>0.24178187403993856</v>
      </c>
      <c r="O26" s="254">
        <f>O24/J24</f>
        <v>0.19162735849056603</v>
      </c>
    </row>
    <row r="27" spans="1:15">
      <c r="A27" s="17" t="s">
        <v>194</v>
      </c>
      <c r="M27" s="99"/>
      <c r="N27" s="99"/>
      <c r="O27" s="99"/>
    </row>
    <row r="28" spans="1:15" ht="12.75">
      <c r="A28" s="514"/>
      <c r="B28" s="515"/>
      <c r="C28" s="749" t="s">
        <v>196</v>
      </c>
      <c r="D28" s="749"/>
      <c r="E28" s="752" t="s">
        <v>197</v>
      </c>
      <c r="F28" s="752"/>
      <c r="H28" s="17"/>
      <c r="I28" s="516"/>
      <c r="K28" s="17"/>
      <c r="N28" s="99"/>
      <c r="O28" s="99"/>
    </row>
    <row r="29" spans="1:15" ht="15" customHeight="1">
      <c r="A29" s="517" t="s">
        <v>204</v>
      </c>
      <c r="B29" s="518">
        <v>900</v>
      </c>
      <c r="C29" s="750">
        <v>0.1</v>
      </c>
      <c r="D29" s="750"/>
      <c r="E29" s="607" t="s">
        <v>22</v>
      </c>
      <c r="F29" s="607"/>
      <c r="H29" s="17"/>
      <c r="I29" s="516"/>
      <c r="K29" s="17"/>
    </row>
    <row r="30" spans="1:15" ht="11.25">
      <c r="A30" s="753" t="s">
        <v>195</v>
      </c>
      <c r="B30" s="518">
        <v>2100</v>
      </c>
      <c r="C30" s="754">
        <v>0.1</v>
      </c>
      <c r="D30" s="754"/>
      <c r="E30" s="754">
        <v>0.25</v>
      </c>
      <c r="F30" s="754"/>
      <c r="H30" s="17"/>
      <c r="I30" s="516"/>
      <c r="K30" s="17"/>
    </row>
    <row r="31" spans="1:15" ht="11.25">
      <c r="A31" s="753"/>
      <c r="B31" s="518">
        <v>2200</v>
      </c>
      <c r="C31" s="754">
        <v>0.25</v>
      </c>
      <c r="D31" s="754"/>
      <c r="E31" s="754"/>
      <c r="F31" s="754"/>
      <c r="H31" s="17"/>
      <c r="I31" s="516"/>
      <c r="K31" s="17"/>
    </row>
    <row r="32" spans="1:15" ht="11.25">
      <c r="A32" s="753"/>
      <c r="B32" s="518">
        <v>2300</v>
      </c>
      <c r="C32" s="754">
        <v>0.4</v>
      </c>
      <c r="D32" s="754"/>
      <c r="E32" s="754">
        <v>0.5</v>
      </c>
      <c r="F32" s="754"/>
      <c r="H32" s="17"/>
      <c r="I32" s="516"/>
      <c r="K32" s="17"/>
    </row>
    <row r="33" spans="4:11" ht="11.25">
      <c r="D33" s="143"/>
      <c r="E33" s="143"/>
      <c r="F33" s="143"/>
      <c r="H33" s="17"/>
      <c r="I33" s="516"/>
      <c r="K33" s="17"/>
    </row>
    <row r="34" spans="4:11" ht="11.25">
      <c r="D34" s="143"/>
      <c r="E34" s="143"/>
      <c r="F34" s="143"/>
      <c r="H34" s="17"/>
      <c r="I34" s="516"/>
      <c r="K34" s="17"/>
    </row>
    <row r="35" spans="4:11" ht="11.25">
      <c r="D35" s="143"/>
      <c r="E35" s="143"/>
      <c r="F35" s="143"/>
      <c r="H35" s="17"/>
      <c r="I35" s="516"/>
      <c r="K35" s="17"/>
    </row>
  </sheetData>
  <sheetProtection selectLockedCells="1" selectUnlockedCells="1"/>
  <mergeCells count="38">
    <mergeCell ref="E28:F28"/>
    <mergeCell ref="A30:A32"/>
    <mergeCell ref="C30:D30"/>
    <mergeCell ref="E30:F31"/>
    <mergeCell ref="C31:D31"/>
    <mergeCell ref="C32:D32"/>
    <mergeCell ref="E32:F32"/>
    <mergeCell ref="M7:M8"/>
    <mergeCell ref="N7:O7"/>
    <mergeCell ref="E29:F29"/>
    <mergeCell ref="A22:F22"/>
    <mergeCell ref="F11:F12"/>
    <mergeCell ref="C28:D28"/>
    <mergeCell ref="C29:D29"/>
    <mergeCell ref="A21:F21"/>
    <mergeCell ref="A14:A15"/>
    <mergeCell ref="B16:B17"/>
    <mergeCell ref="A18:F18"/>
    <mergeCell ref="A19:F19"/>
    <mergeCell ref="L7:L8"/>
    <mergeCell ref="A20:L20"/>
    <mergeCell ref="A16:A17"/>
    <mergeCell ref="B14:B15"/>
    <mergeCell ref="A23:L23"/>
    <mergeCell ref="A24:F24"/>
    <mergeCell ref="A25:F25"/>
    <mergeCell ref="D5:K5"/>
    <mergeCell ref="H7:K7"/>
    <mergeCell ref="E11:E12"/>
    <mergeCell ref="A7:A8"/>
    <mergeCell ref="B7:B8"/>
    <mergeCell ref="D7:F7"/>
    <mergeCell ref="G7:G8"/>
    <mergeCell ref="B9:B10"/>
    <mergeCell ref="C9:C10"/>
    <mergeCell ref="A11:A12"/>
    <mergeCell ref="B11:B12"/>
    <mergeCell ref="D11:D12"/>
  </mergeCells>
  <hyperlinks>
    <hyperlink ref="A6" location="Содержание!A1" display="Содержание"/>
  </hyperlinks>
  <pageMargins left="0.25" right="0.25" top="0.75" bottom="0.75" header="0.3" footer="0.3"/>
  <pageSetup paperSize="9" scale="71" firstPageNumber="0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workbookViewId="0">
      <selection activeCell="D2" sqref="D2"/>
    </sheetView>
  </sheetViews>
  <sheetFormatPr defaultColWidth="9.140625" defaultRowHeight="11.25"/>
  <cols>
    <col min="1" max="1" width="9.140625" style="17"/>
    <col min="2" max="2" width="16.140625" style="17" customWidth="1"/>
    <col min="3" max="3" width="36.42578125" style="17" bestFit="1" customWidth="1"/>
    <col min="4" max="4" width="21.28515625" style="17" bestFit="1" customWidth="1"/>
    <col min="5" max="16384" width="9.140625" style="17"/>
  </cols>
  <sheetData>
    <row r="1" spans="1:6" ht="26.25">
      <c r="A1" s="522" t="s">
        <v>205</v>
      </c>
      <c r="B1" s="522"/>
      <c r="C1" s="522"/>
      <c r="D1" s="157">
        <v>44697</v>
      </c>
    </row>
    <row r="3" spans="1:6" ht="14.25">
      <c r="A3" s="16" t="s">
        <v>28</v>
      </c>
    </row>
    <row r="5" spans="1:6" ht="15">
      <c r="A5" s="18" t="s">
        <v>29</v>
      </c>
      <c r="B5" s="19" t="s">
        <v>30</v>
      </c>
    </row>
    <row r="6" spans="1:6" s="20" customFormat="1">
      <c r="B6" s="133" t="s">
        <v>31</v>
      </c>
      <c r="C6" s="20" t="s">
        <v>32</v>
      </c>
      <c r="D6" s="20" t="s">
        <v>33</v>
      </c>
    </row>
    <row r="7" spans="1:6" ht="15.75">
      <c r="A7" s="21">
        <v>1</v>
      </c>
      <c r="B7" s="134" t="s">
        <v>34</v>
      </c>
      <c r="C7" s="23" t="s">
        <v>35</v>
      </c>
      <c r="D7" s="23" t="s">
        <v>36</v>
      </c>
      <c r="E7" s="21"/>
      <c r="F7" s="21"/>
    </row>
    <row r="8" spans="1:6" ht="12">
      <c r="B8" s="24" t="s">
        <v>37</v>
      </c>
      <c r="C8" s="25"/>
      <c r="D8" s="25"/>
      <c r="F8" s="24"/>
    </row>
    <row r="9" spans="1:6" ht="15.75" hidden="1">
      <c r="A9" s="21">
        <v>2</v>
      </c>
      <c r="B9" s="22" t="s">
        <v>38</v>
      </c>
      <c r="C9" s="23" t="s">
        <v>39</v>
      </c>
      <c r="D9" s="23" t="s">
        <v>49</v>
      </c>
      <c r="E9" s="21"/>
      <c r="F9" s="21"/>
    </row>
    <row r="10" spans="1:6" ht="12" hidden="1">
      <c r="B10" s="24" t="s">
        <v>40</v>
      </c>
      <c r="C10" s="25"/>
      <c r="D10" s="25"/>
      <c r="F10" s="24"/>
    </row>
    <row r="11" spans="1:6" ht="15.75" hidden="1">
      <c r="A11" s="21">
        <v>3</v>
      </c>
      <c r="B11" s="22" t="s">
        <v>41</v>
      </c>
      <c r="C11" s="23" t="s">
        <v>42</v>
      </c>
      <c r="D11" s="23" t="s">
        <v>49</v>
      </c>
      <c r="E11" s="21"/>
      <c r="F11" s="21"/>
    </row>
    <row r="12" spans="1:6" ht="12" hidden="1">
      <c r="B12" s="135" t="s">
        <v>43</v>
      </c>
      <c r="C12" s="25"/>
      <c r="D12" s="25"/>
      <c r="F12" s="24"/>
    </row>
    <row r="13" spans="1:6" ht="15.75">
      <c r="A13" s="21">
        <v>2</v>
      </c>
      <c r="B13" s="134" t="s">
        <v>44</v>
      </c>
      <c r="C13" s="23" t="s">
        <v>45</v>
      </c>
      <c r="D13" s="23" t="s">
        <v>49</v>
      </c>
      <c r="E13" s="21"/>
      <c r="F13" s="21"/>
    </row>
    <row r="14" spans="1:6" ht="12">
      <c r="B14" s="136" t="s">
        <v>46</v>
      </c>
      <c r="C14" s="26"/>
      <c r="D14" s="26"/>
      <c r="F14" s="24"/>
    </row>
    <row r="15" spans="1:6" ht="15.75">
      <c r="A15" s="21">
        <v>3</v>
      </c>
      <c r="B15" s="134" t="s">
        <v>47</v>
      </c>
      <c r="C15" s="23" t="s">
        <v>48</v>
      </c>
      <c r="D15" s="23" t="s">
        <v>49</v>
      </c>
      <c r="E15" s="21"/>
      <c r="F15" s="21"/>
    </row>
    <row r="16" spans="1:6" ht="12">
      <c r="B16" s="24" t="s">
        <v>50</v>
      </c>
      <c r="C16" s="25"/>
      <c r="D16" s="25"/>
      <c r="F16" s="24"/>
    </row>
    <row r="17" spans="1:6" ht="15.75">
      <c r="A17" s="21">
        <v>4</v>
      </c>
      <c r="B17" s="22" t="s">
        <v>51</v>
      </c>
      <c r="C17" s="23" t="s">
        <v>182</v>
      </c>
      <c r="D17" s="23" t="s">
        <v>49</v>
      </c>
      <c r="E17" s="21"/>
      <c r="F17" s="21"/>
    </row>
    <row r="18" spans="1:6" ht="12">
      <c r="B18" s="24" t="s">
        <v>52</v>
      </c>
      <c r="C18" s="25"/>
      <c r="D18" s="25"/>
      <c r="F18" s="24"/>
    </row>
    <row r="19" spans="1:6" ht="15.75">
      <c r="A19" s="21">
        <v>5</v>
      </c>
      <c r="B19" s="22" t="s">
        <v>53</v>
      </c>
      <c r="C19" s="23" t="s">
        <v>183</v>
      </c>
      <c r="D19" s="23" t="s">
        <v>49</v>
      </c>
      <c r="E19" s="21"/>
      <c r="F19" s="21"/>
    </row>
    <row r="20" spans="1:6" ht="12">
      <c r="B20" s="24" t="s">
        <v>54</v>
      </c>
      <c r="C20" s="25"/>
      <c r="D20" s="25"/>
      <c r="F20" s="24"/>
    </row>
    <row r="21" spans="1:6" ht="15.75">
      <c r="A21" s="21">
        <v>6</v>
      </c>
      <c r="B21" s="22" t="s">
        <v>55</v>
      </c>
      <c r="C21" s="23" t="s">
        <v>56</v>
      </c>
      <c r="D21" s="23" t="s">
        <v>49</v>
      </c>
      <c r="E21" s="21"/>
      <c r="F21" s="21"/>
    </row>
    <row r="22" spans="1:6" ht="12">
      <c r="B22" s="24" t="s">
        <v>57</v>
      </c>
      <c r="F22" s="24"/>
    </row>
    <row r="23" spans="1:6" ht="15.75">
      <c r="A23" s="21">
        <v>7</v>
      </c>
      <c r="B23" s="22" t="s">
        <v>58</v>
      </c>
      <c r="C23" s="23" t="s">
        <v>59</v>
      </c>
      <c r="D23" s="23" t="s">
        <v>49</v>
      </c>
      <c r="E23" s="21"/>
      <c r="F23" s="21"/>
    </row>
    <row r="24" spans="1:6" ht="12">
      <c r="B24" s="24" t="s">
        <v>60</v>
      </c>
      <c r="F24" s="24"/>
    </row>
    <row r="26" spans="1:6" ht="15">
      <c r="A26" s="18" t="s">
        <v>61</v>
      </c>
      <c r="B26" s="19" t="s">
        <v>62</v>
      </c>
      <c r="C26" s="131"/>
    </row>
    <row r="27" spans="1:6" ht="12">
      <c r="A27" s="24"/>
      <c r="B27" s="132" t="s">
        <v>180</v>
      </c>
      <c r="C27" s="24"/>
    </row>
    <row r="28" spans="1:6" ht="15">
      <c r="A28" s="18"/>
      <c r="B28" s="132" t="s">
        <v>181</v>
      </c>
      <c r="C28" s="131"/>
    </row>
    <row r="30" spans="1:6" ht="15">
      <c r="A30" s="18" t="s">
        <v>63</v>
      </c>
      <c r="B30" s="19" t="s">
        <v>64</v>
      </c>
    </row>
    <row r="32" spans="1:6" ht="15">
      <c r="A32" s="18" t="s">
        <v>65</v>
      </c>
      <c r="B32" s="19" t="s">
        <v>66</v>
      </c>
    </row>
    <row r="34" spans="1:2" ht="15">
      <c r="A34" s="18" t="s">
        <v>215</v>
      </c>
      <c r="B34" s="19" t="s">
        <v>216</v>
      </c>
    </row>
    <row r="35" spans="1:2" ht="12">
      <c r="B35" s="132" t="s">
        <v>217</v>
      </c>
    </row>
    <row r="36" spans="1:2" ht="12">
      <c r="B36" s="132" t="s">
        <v>218</v>
      </c>
    </row>
    <row r="38" spans="1:2" ht="15">
      <c r="A38" s="18" t="s">
        <v>219</v>
      </c>
      <c r="B38" s="19" t="s">
        <v>220</v>
      </c>
    </row>
  </sheetData>
  <mergeCells count="1">
    <mergeCell ref="A1:C1"/>
  </mergeCells>
  <hyperlinks>
    <hyperlink ref="B7" location="'Серия E'!Область_печати" display="Серия E"/>
    <hyperlink ref="B9" location="'Серия R'!Область_печати" display="Серия R"/>
    <hyperlink ref="B11" location="'Серия Z'!Область_печати" display="Серия Z"/>
    <hyperlink ref="B13" location="'Серия F'!Область_печати" display="Серия F"/>
    <hyperlink ref="B15" location="'Серия FV'!Область_печати" display="Серия FV"/>
    <hyperlink ref="B17" location="'Серия K'!Область_печати" display="Серия K"/>
    <hyperlink ref="B19" location="'Серия S'!Область_печати" display="Серия S"/>
    <hyperlink ref="B21" location="'Серия V'!Область_печати" display="Серия V"/>
    <hyperlink ref="B30" location="'Прочие элементы'!Область_печати" display="ПРОЧИЕ ЭЛЕМЕНТЫ"/>
    <hyperlink ref="B32" location="'Категории покрытий'!A1" display="КАТЕГОРИИ ПОКРЫТИЙ"/>
    <hyperlink ref="B23" location="'Серия P'!Область_печати" display="Серия P"/>
    <hyperlink ref="B27" location="'Погонаж стандарт'!Область_печати" display="Стандартный погонаж"/>
    <hyperlink ref="B28" location="'Погонаж компланар '!Область_печати" display="Компланарный погонаж"/>
    <hyperlink ref="B35" location="Склад_Грунт!A1" display="Двери под покраску"/>
    <hyperlink ref="B36" location="Склад_Эмаль!Область_печати" display="Двери в эмали"/>
    <hyperlink ref="B38" location="Фурнитура!Область_печати" display="ФУРНИТУРА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35"/>
  <sheetViews>
    <sheetView tabSelected="1" view="pageBreakPreview" topLeftCell="B1" zoomScale="90" zoomScaleSheetLayoutView="90" workbookViewId="0">
      <selection activeCell="K6" sqref="K6"/>
    </sheetView>
  </sheetViews>
  <sheetFormatPr defaultColWidth="12.42578125" defaultRowHeight="15" outlineLevelCol="1"/>
  <cols>
    <col min="1" max="1" width="3.5703125" style="17" hidden="1" customWidth="1"/>
    <col min="2" max="2" width="12.7109375" style="17" customWidth="1"/>
    <col min="3" max="3" width="17.28515625" style="17" customWidth="1"/>
    <col min="4" max="4" width="5.7109375" style="17" customWidth="1"/>
    <col min="5" max="5" width="5.7109375" style="15" customWidth="1"/>
    <col min="6" max="6" width="5.7109375" style="17" customWidth="1"/>
    <col min="7" max="8" width="9.28515625" style="66" hidden="1" customWidth="1" outlineLevel="1"/>
    <col min="9" max="9" width="9.28515625" style="422" hidden="1" customWidth="1" collapsed="1"/>
    <col min="10" max="10" width="9.28515625" style="53" customWidth="1"/>
    <col min="11" max="11" width="9.28515625" style="66" customWidth="1"/>
    <col min="12" max="12" width="9.28515625" style="66" hidden="1" customWidth="1"/>
    <col min="13" max="13" width="9.28515625" style="17" hidden="1" customWidth="1"/>
    <col min="14" max="14" width="9.85546875" style="17" hidden="1" customWidth="1"/>
    <col min="15" max="15" width="9.28515625" style="17" hidden="1" customWidth="1"/>
    <col min="16" max="16384" width="12.42578125" style="17"/>
  </cols>
  <sheetData>
    <row r="1" spans="1:15" ht="15" customHeight="1"/>
    <row r="2" spans="1:15">
      <c r="C2" s="30"/>
      <c r="D2" s="31"/>
      <c r="E2" s="13"/>
      <c r="F2" s="31"/>
      <c r="G2" s="60"/>
      <c r="H2" s="60"/>
      <c r="I2" s="453"/>
      <c r="J2" s="32"/>
      <c r="K2" s="60"/>
      <c r="L2" s="60"/>
    </row>
    <row r="3" spans="1:15" ht="12">
      <c r="C3" s="30"/>
      <c r="D3" s="33"/>
      <c r="E3" s="14"/>
      <c r="F3" s="33"/>
      <c r="G3" s="170"/>
      <c r="H3" s="170"/>
      <c r="I3" s="454"/>
      <c r="J3" s="35"/>
      <c r="K3" s="170"/>
      <c r="L3" s="170"/>
    </row>
    <row r="4" spans="1:15" ht="12.75" customHeight="1">
      <c r="C4" s="30"/>
      <c r="D4" s="555"/>
      <c r="E4" s="555"/>
      <c r="F4" s="555"/>
      <c r="G4" s="555"/>
      <c r="H4" s="555"/>
      <c r="I4" s="555"/>
      <c r="J4" s="555"/>
      <c r="K4" s="555"/>
      <c r="L4" s="555"/>
    </row>
    <row r="5" spans="1:15" ht="12.75" customHeight="1">
      <c r="C5" s="30"/>
      <c r="D5" s="169"/>
      <c r="E5" s="169"/>
      <c r="F5" s="169"/>
      <c r="G5" s="169"/>
      <c r="H5" s="169"/>
      <c r="I5" s="455"/>
      <c r="J5" s="240"/>
      <c r="K5" s="169"/>
      <c r="L5" s="169"/>
    </row>
    <row r="6" spans="1:15" ht="33.75" customHeight="1">
      <c r="B6" s="7" t="s">
        <v>0</v>
      </c>
      <c r="D6" s="519"/>
      <c r="E6" s="519"/>
      <c r="F6" s="519"/>
      <c r="G6" s="519"/>
      <c r="H6" s="519"/>
      <c r="I6" s="519"/>
      <c r="J6" s="519"/>
      <c r="K6" s="485">
        <f>Содержание!D1</f>
        <v>44697</v>
      </c>
      <c r="L6" s="519"/>
    </row>
    <row r="7" spans="1:15" ht="10.5" customHeight="1">
      <c r="B7" s="546" t="s">
        <v>1</v>
      </c>
      <c r="C7" s="546" t="s">
        <v>2</v>
      </c>
      <c r="D7" s="761" t="s">
        <v>165</v>
      </c>
      <c r="E7" s="761"/>
      <c r="F7" s="761"/>
      <c r="G7" s="756" t="s">
        <v>186</v>
      </c>
      <c r="H7" s="554" t="s">
        <v>187</v>
      </c>
      <c r="I7" s="558"/>
      <c r="J7" s="554"/>
      <c r="K7" s="554"/>
      <c r="L7" s="757" t="s">
        <v>188</v>
      </c>
      <c r="M7" s="773" t="s">
        <v>224</v>
      </c>
      <c r="N7" s="771" t="s">
        <v>221</v>
      </c>
      <c r="O7" s="772"/>
    </row>
    <row r="8" spans="1:15" s="37" customFormat="1" ht="33.4" customHeight="1">
      <c r="B8" s="546"/>
      <c r="C8" s="546"/>
      <c r="D8" s="110" t="s">
        <v>166</v>
      </c>
      <c r="E8" s="108" t="s">
        <v>167</v>
      </c>
      <c r="F8" s="109" t="s">
        <v>168</v>
      </c>
      <c r="G8" s="756"/>
      <c r="H8" s="241" t="s">
        <v>189</v>
      </c>
      <c r="I8" s="456"/>
      <c r="J8" s="165" t="s">
        <v>190</v>
      </c>
      <c r="K8" s="151" t="s">
        <v>191</v>
      </c>
      <c r="L8" s="757"/>
      <c r="M8" s="774"/>
      <c r="N8" s="251" t="s">
        <v>222</v>
      </c>
      <c r="O8" s="251" t="s">
        <v>223</v>
      </c>
    </row>
    <row r="9" spans="1:15" ht="66" customHeight="1">
      <c r="A9" s="758" t="s">
        <v>11</v>
      </c>
      <c r="B9" s="769" t="s">
        <v>161</v>
      </c>
      <c r="C9" s="765"/>
      <c r="D9" s="152" t="s">
        <v>164</v>
      </c>
      <c r="E9" s="153">
        <v>39</v>
      </c>
      <c r="F9" s="154">
        <v>2000</v>
      </c>
      <c r="G9" s="468">
        <f>CEILING(J9*[1]Наценки!$G$22, 10)</f>
        <v>13390</v>
      </c>
      <c r="H9" s="365">
        <f>CEILING(J9*(1+[1]Наценки!$H$22), 5)</f>
        <v>7705</v>
      </c>
      <c r="I9" s="452">
        <v>7365</v>
      </c>
      <c r="J9" s="366">
        <f>CEILING(I9*(1+'!!!НАЦЕНКИ'!$B$3), 10)</f>
        <v>8110</v>
      </c>
      <c r="K9" s="365">
        <f>CEILING(J9*(1+[1]Наценки!$J$22), 10)</f>
        <v>8520</v>
      </c>
      <c r="L9" s="247">
        <f>CEILING(J9*(1+Наценки!$K$22), 10)</f>
        <v>9740</v>
      </c>
      <c r="M9" s="252">
        <f>G9-L9</f>
        <v>3650</v>
      </c>
      <c r="N9" s="252">
        <f>L9-H9</f>
        <v>2035</v>
      </c>
      <c r="O9" s="252">
        <f>L9-J9</f>
        <v>1630</v>
      </c>
    </row>
    <row r="10" spans="1:15" ht="66" customHeight="1">
      <c r="A10" s="759"/>
      <c r="B10" s="770"/>
      <c r="C10" s="766"/>
      <c r="D10" s="105">
        <v>900</v>
      </c>
      <c r="E10" s="106">
        <v>39</v>
      </c>
      <c r="F10" s="111">
        <v>2000</v>
      </c>
      <c r="G10" s="468">
        <f>CEILING(J10*[1]Наценки!$G$22, 10)</f>
        <v>15300</v>
      </c>
      <c r="H10" s="365">
        <f>CEILING(J10*(1+[1]Наценки!$H$22), 5)</f>
        <v>8810</v>
      </c>
      <c r="I10" s="452">
        <v>8420</v>
      </c>
      <c r="J10" s="366">
        <f>CEILING(I10*(1+'!!!НАЦЕНКИ'!$B$3), 10)</f>
        <v>9270</v>
      </c>
      <c r="K10" s="365">
        <f>CEILING(J10*(1+[1]Наценки!$J$22), 10)</f>
        <v>9740</v>
      </c>
      <c r="L10" s="247">
        <f>CEILING(J10*(1+Наценки!$K$22), 10)</f>
        <v>11130</v>
      </c>
      <c r="M10" s="252">
        <f t="shared" ref="M10:M14" si="0">G10-L10</f>
        <v>4170</v>
      </c>
      <c r="N10" s="252">
        <f t="shared" ref="N10:N14" si="1">L10-H10</f>
        <v>2320</v>
      </c>
      <c r="O10" s="252">
        <f t="shared" ref="O10:O14" si="2">L10-J10</f>
        <v>1860</v>
      </c>
    </row>
    <row r="11" spans="1:15" ht="66" customHeight="1">
      <c r="A11" s="759"/>
      <c r="B11" s="138" t="s">
        <v>160</v>
      </c>
      <c r="C11" s="137"/>
      <c r="D11" s="105">
        <v>75</v>
      </c>
      <c r="E11" s="106">
        <v>26</v>
      </c>
      <c r="F11" s="111">
        <v>2070</v>
      </c>
      <c r="G11" s="468">
        <f>CEILING(J11*[1]Наценки!$G$22, 10)</f>
        <v>1340</v>
      </c>
      <c r="H11" s="365">
        <f>CEILING(J11*(1+[1]Наценки!$H$22), 5)</f>
        <v>770</v>
      </c>
      <c r="I11" s="452">
        <v>735</v>
      </c>
      <c r="J11" s="366">
        <f>CEILING(I11*(1+'!!!НАЦЕНКИ'!$B$3), 10)</f>
        <v>810</v>
      </c>
      <c r="K11" s="365">
        <f>CEILING(J11*(1+[1]Наценки!$J$22), 10)</f>
        <v>860</v>
      </c>
      <c r="L11" s="247">
        <f>CEILING(J11*(1+Наценки!$K$22), 10)</f>
        <v>980</v>
      </c>
      <c r="M11" s="252">
        <f t="shared" si="0"/>
        <v>360</v>
      </c>
      <c r="N11" s="252">
        <f t="shared" si="1"/>
        <v>210</v>
      </c>
      <c r="O11" s="252">
        <f t="shared" si="2"/>
        <v>170</v>
      </c>
    </row>
    <row r="12" spans="1:15" ht="66" customHeight="1">
      <c r="A12" s="759"/>
      <c r="B12" s="102" t="s">
        <v>158</v>
      </c>
      <c r="C12" s="70"/>
      <c r="D12" s="105">
        <v>70</v>
      </c>
      <c r="E12" s="106">
        <v>10</v>
      </c>
      <c r="F12" s="111">
        <v>2150</v>
      </c>
      <c r="G12" s="468">
        <f>CEILING(J12*[1]Наценки!$G$22, 10)</f>
        <v>960</v>
      </c>
      <c r="H12" s="365">
        <f>CEILING(J12*(1+[1]Наценки!$H$22), 5)</f>
        <v>555</v>
      </c>
      <c r="I12" s="452">
        <v>525</v>
      </c>
      <c r="J12" s="366">
        <f>CEILING(I12*(1+'!!!НАЦЕНКИ'!$B$3), 10)</f>
        <v>580</v>
      </c>
      <c r="K12" s="365">
        <f>CEILING(J12*(1+[1]Наценки!$J$22), 10)</f>
        <v>610</v>
      </c>
      <c r="L12" s="247">
        <f>CEILING(J12*(1+Наценки!$K$22), 10)</f>
        <v>700</v>
      </c>
      <c r="M12" s="252">
        <f t="shared" si="0"/>
        <v>260</v>
      </c>
      <c r="N12" s="252">
        <f t="shared" si="1"/>
        <v>145</v>
      </c>
      <c r="O12" s="252">
        <f t="shared" si="2"/>
        <v>120</v>
      </c>
    </row>
    <row r="13" spans="1:15" ht="33" customHeight="1">
      <c r="A13" s="759"/>
      <c r="B13" s="767" t="s">
        <v>159</v>
      </c>
      <c r="C13" s="762"/>
      <c r="D13" s="105">
        <v>100</v>
      </c>
      <c r="E13" s="106">
        <v>12</v>
      </c>
      <c r="F13" s="111">
        <v>2070</v>
      </c>
      <c r="G13" s="468">
        <f>CEILING(J13*[1]Наценки!$G$22, 10)</f>
        <v>1130</v>
      </c>
      <c r="H13" s="365">
        <f>CEILING(J13*(1+[1]Наценки!$H$22), 5)</f>
        <v>650</v>
      </c>
      <c r="I13" s="452">
        <v>610</v>
      </c>
      <c r="J13" s="366">
        <f>CEILING(I13*(1+'!!!НАЦЕНКИ'!$B$3), 10)</f>
        <v>680</v>
      </c>
      <c r="K13" s="365">
        <f>CEILING(J13*(1+[1]Наценки!$J$22), 10)</f>
        <v>720</v>
      </c>
      <c r="L13" s="247">
        <f>CEILING(J13*(1+Наценки!$K$22), 10)</f>
        <v>820</v>
      </c>
      <c r="M13" s="252">
        <f t="shared" si="0"/>
        <v>310</v>
      </c>
      <c r="N13" s="252">
        <f t="shared" si="1"/>
        <v>170</v>
      </c>
      <c r="O13" s="252">
        <f t="shared" si="2"/>
        <v>140</v>
      </c>
    </row>
    <row r="14" spans="1:15" ht="33" customHeight="1">
      <c r="A14" s="759"/>
      <c r="B14" s="768"/>
      <c r="C14" s="763"/>
      <c r="D14" s="105">
        <v>200</v>
      </c>
      <c r="E14" s="107">
        <v>12</v>
      </c>
      <c r="F14" s="111">
        <v>2070</v>
      </c>
      <c r="G14" s="468">
        <f>CEILING(J14*[1]Наценки!$G$22, 10)</f>
        <v>2120</v>
      </c>
      <c r="H14" s="365">
        <f>CEILING(J14*(1+[1]Наценки!$H$22), 5)</f>
        <v>1220</v>
      </c>
      <c r="I14" s="452">
        <v>1155</v>
      </c>
      <c r="J14" s="366">
        <f>CEILING(I14*(1+'!!!НАЦЕНКИ'!$B$3), 10)</f>
        <v>1280</v>
      </c>
      <c r="K14" s="365">
        <f>CEILING(J14*(1+[1]Наценки!$J$22), 10)</f>
        <v>1350</v>
      </c>
      <c r="L14" s="247">
        <f>CEILING(J14*(1+Наценки!$K$22), 10)</f>
        <v>1540</v>
      </c>
      <c r="M14" s="252">
        <f t="shared" si="0"/>
        <v>580</v>
      </c>
      <c r="N14" s="252">
        <f t="shared" si="1"/>
        <v>320</v>
      </c>
      <c r="O14" s="252">
        <f t="shared" si="2"/>
        <v>260</v>
      </c>
    </row>
    <row r="15" spans="1:15" ht="15.75">
      <c r="A15" s="760"/>
      <c r="B15" s="764" t="s">
        <v>157</v>
      </c>
      <c r="C15" s="764"/>
      <c r="D15" s="764"/>
      <c r="E15" s="764"/>
      <c r="F15" s="764"/>
      <c r="G15" s="242">
        <f>G9+G11*2.5+G12*5</f>
        <v>21540</v>
      </c>
      <c r="H15" s="242">
        <f>H9+H11*2.5+H12*5</f>
        <v>12405</v>
      </c>
      <c r="I15" s="457"/>
      <c r="J15" s="100">
        <f>J9+J11*2.5+J12*5</f>
        <v>13035</v>
      </c>
      <c r="K15" s="242">
        <f>K9+K11*2.5+K12*5</f>
        <v>13720</v>
      </c>
      <c r="L15" s="248">
        <f>L9+L11*2.5+L12*5</f>
        <v>15690</v>
      </c>
      <c r="M15" s="253">
        <f t="shared" ref="M15:O15" si="3">M9+M11*2.5+M12*5</f>
        <v>5850</v>
      </c>
      <c r="N15" s="253">
        <f t="shared" si="3"/>
        <v>3285</v>
      </c>
      <c r="O15" s="253">
        <f t="shared" si="3"/>
        <v>2655</v>
      </c>
    </row>
    <row r="16" spans="1:15" ht="11.25">
      <c r="B16" s="101"/>
      <c r="C16" s="101"/>
      <c r="D16" s="101"/>
      <c r="E16" s="101"/>
      <c r="F16" s="101"/>
      <c r="G16" s="149"/>
      <c r="H16" s="149"/>
      <c r="I16" s="458"/>
      <c r="J16" s="101"/>
      <c r="K16" s="149"/>
      <c r="L16" s="149"/>
      <c r="M16" s="254">
        <f>M15/G15</f>
        <v>0.27158774373259054</v>
      </c>
      <c r="N16" s="254">
        <f>N15/H15</f>
        <v>0.26481257557436516</v>
      </c>
      <c r="O16" s="254">
        <f>O15/J15</f>
        <v>0.20368239355581128</v>
      </c>
    </row>
    <row r="17" spans="1:15" s="66" customFormat="1" ht="33" customHeight="1">
      <c r="B17" s="141"/>
      <c r="C17" s="156"/>
      <c r="D17" s="755"/>
      <c r="E17" s="755"/>
      <c r="F17" s="755"/>
      <c r="G17" s="155"/>
      <c r="H17" s="121"/>
      <c r="I17" s="452"/>
      <c r="J17" s="226"/>
      <c r="K17" s="121"/>
      <c r="L17" s="247"/>
      <c r="M17" s="252"/>
      <c r="N17" s="252"/>
      <c r="O17" s="252"/>
    </row>
    <row r="18" spans="1:15" ht="33" customHeight="1">
      <c r="B18" s="141" t="s">
        <v>140</v>
      </c>
      <c r="C18" s="140"/>
      <c r="D18" s="755" t="s">
        <v>22</v>
      </c>
      <c r="E18" s="755"/>
      <c r="F18" s="755"/>
      <c r="G18" s="155">
        <v>700</v>
      </c>
      <c r="H18" s="121">
        <f>CEILING(J18*(1+Наценки!$H$31), 5)</f>
        <v>400</v>
      </c>
      <c r="I18" s="452"/>
      <c r="J18" s="366">
        <f>ф!C7</f>
        <v>400</v>
      </c>
      <c r="K18" s="121">
        <f>CEILING(J18*(1+Наценки!$J$31), 5)</f>
        <v>420</v>
      </c>
      <c r="L18" s="247">
        <f>CEILING(J18*(1+Наценки!$K$31), 5)</f>
        <v>460</v>
      </c>
      <c r="M18" s="252">
        <f>G18-L18</f>
        <v>240</v>
      </c>
      <c r="N18" s="252">
        <f>L18-H18</f>
        <v>60</v>
      </c>
      <c r="O18" s="252">
        <f t="shared" ref="O18" si="4">L18-J18</f>
        <v>60</v>
      </c>
    </row>
    <row r="20" spans="1:15">
      <c r="B20" s="119" t="s">
        <v>169</v>
      </c>
    </row>
    <row r="21" spans="1:15" ht="10.5" customHeight="1">
      <c r="B21" s="17" t="s">
        <v>170</v>
      </c>
    </row>
    <row r="22" spans="1:15" ht="10.5" customHeight="1">
      <c r="B22" s="17" t="s">
        <v>171</v>
      </c>
    </row>
    <row r="23" spans="1:15" ht="10.5" customHeight="1">
      <c r="B23" s="17" t="s">
        <v>173</v>
      </c>
    </row>
    <row r="24" spans="1:15" ht="10.5" customHeight="1">
      <c r="B24" s="17" t="s">
        <v>172</v>
      </c>
      <c r="M24" s="99"/>
    </row>
    <row r="25" spans="1:15" s="148" customFormat="1" ht="12" customHeight="1">
      <c r="A25" s="98"/>
      <c r="B25" s="53" t="s">
        <v>258</v>
      </c>
      <c r="C25" s="98"/>
      <c r="D25" s="98"/>
      <c r="E25" s="98"/>
      <c r="F25" s="98"/>
      <c r="G25" s="98"/>
      <c r="H25" s="98"/>
      <c r="I25" s="459"/>
      <c r="J25" s="98"/>
      <c r="K25" s="98"/>
    </row>
    <row r="26" spans="1:15" s="99" customFormat="1" ht="12.75">
      <c r="G26" s="150"/>
      <c r="H26" s="150"/>
      <c r="I26" s="460"/>
      <c r="J26" s="148"/>
      <c r="K26" s="150"/>
      <c r="L26" s="150"/>
      <c r="M26" s="17"/>
    </row>
    <row r="30" spans="1:15" ht="11.25">
      <c r="E30" s="17"/>
    </row>
    <row r="31" spans="1:15" ht="11.25">
      <c r="E31" s="17"/>
    </row>
    <row r="32" spans="1:15" ht="11.25">
      <c r="E32" s="17"/>
    </row>
    <row r="33" spans="5:5" ht="11.25">
      <c r="E33" s="17"/>
    </row>
    <row r="34" spans="5:5" ht="11.25">
      <c r="E34" s="17"/>
    </row>
    <row r="35" spans="5:5" ht="11.25">
      <c r="E35" s="17"/>
    </row>
  </sheetData>
  <sheetProtection selectLockedCells="1" selectUnlockedCells="1"/>
  <mergeCells count="17">
    <mergeCell ref="N7:O7"/>
    <mergeCell ref="M7:M8"/>
    <mergeCell ref="D4:L4"/>
    <mergeCell ref="D17:F17"/>
    <mergeCell ref="D18:F18"/>
    <mergeCell ref="G7:G8"/>
    <mergeCell ref="L7:L8"/>
    <mergeCell ref="H7:K7"/>
    <mergeCell ref="A9:A15"/>
    <mergeCell ref="B7:B8"/>
    <mergeCell ref="C7:C8"/>
    <mergeCell ref="D7:F7"/>
    <mergeCell ref="C13:C14"/>
    <mergeCell ref="B15:F15"/>
    <mergeCell ref="C9:C10"/>
    <mergeCell ref="B13:B14"/>
    <mergeCell ref="B9:B10"/>
  </mergeCells>
  <hyperlinks>
    <hyperlink ref="B6" location="Содержание!A1" display="Содержание"/>
  </hyperlinks>
  <pageMargins left="0.25" right="0.25" top="0.75" bottom="0.75" header="0.3" footer="0.3"/>
  <pageSetup paperSize="9" scale="81" firstPageNumber="0" orientation="portrait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topLeftCell="D1" workbookViewId="0">
      <selection activeCell="I7" sqref="H7:I7"/>
    </sheetView>
  </sheetViews>
  <sheetFormatPr defaultRowHeight="15" outlineLevelCol="1"/>
  <cols>
    <col min="1" max="1" width="26" style="8" hidden="1" customWidth="1" outlineLevel="1"/>
    <col min="2" max="2" width="9.140625" hidden="1" customWidth="1" outlineLevel="1"/>
    <col min="3" max="3" width="9.5703125" style="470" hidden="1" customWidth="1" outlineLevel="1"/>
    <col min="4" max="4" width="9.140625" collapsed="1"/>
  </cols>
  <sheetData>
    <row r="1" spans="1:6">
      <c r="A1" s="469" t="s">
        <v>337</v>
      </c>
      <c r="B1">
        <v>100</v>
      </c>
    </row>
    <row r="2" spans="1:6">
      <c r="A2" s="469" t="s">
        <v>338</v>
      </c>
      <c r="B2">
        <v>1.43</v>
      </c>
    </row>
    <row r="4" spans="1:6" s="474" customFormat="1">
      <c r="A4" s="471"/>
      <c r="B4" s="472" t="s">
        <v>339</v>
      </c>
      <c r="C4" s="473" t="s">
        <v>262</v>
      </c>
    </row>
    <row r="5" spans="1:6">
      <c r="A5" s="475" t="s">
        <v>340</v>
      </c>
      <c r="B5" s="476">
        <v>9.4</v>
      </c>
      <c r="C5" s="473">
        <f>CEILING(B5*$B$1*$B$2, 50)</f>
        <v>1350</v>
      </c>
      <c r="E5" s="474"/>
      <c r="F5" s="474"/>
    </row>
    <row r="6" spans="1:6">
      <c r="A6" s="475" t="s">
        <v>341</v>
      </c>
      <c r="B6" s="476">
        <v>12.9</v>
      </c>
      <c r="C6" s="473">
        <f t="shared" ref="C6:C9" si="0">CEILING(B6*$B$1*$B$2, 50)</f>
        <v>1850</v>
      </c>
      <c r="E6" s="474"/>
      <c r="F6" s="474"/>
    </row>
    <row r="7" spans="1:6" ht="45">
      <c r="A7" s="475" t="s">
        <v>342</v>
      </c>
      <c r="B7" s="477">
        <v>2.5</v>
      </c>
      <c r="C7" s="473">
        <f t="shared" si="0"/>
        <v>400</v>
      </c>
      <c r="E7" s="474"/>
      <c r="F7" s="474"/>
    </row>
    <row r="8" spans="1:6" ht="45">
      <c r="A8" s="475" t="s">
        <v>343</v>
      </c>
      <c r="B8" s="477">
        <v>2.8</v>
      </c>
      <c r="C8" s="473">
        <f t="shared" si="0"/>
        <v>450</v>
      </c>
    </row>
    <row r="9" spans="1:6">
      <c r="A9" s="475" t="s">
        <v>344</v>
      </c>
      <c r="B9" s="476">
        <v>1.1000000000000001</v>
      </c>
      <c r="C9" s="473">
        <f t="shared" si="0"/>
        <v>200</v>
      </c>
    </row>
    <row r="11" spans="1:6">
      <c r="A11" s="8" t="s">
        <v>345</v>
      </c>
    </row>
    <row r="12" spans="1:6">
      <c r="A12" s="475" t="s">
        <v>346</v>
      </c>
      <c r="B12" s="478">
        <f>B5*2+B7</f>
        <v>21.3</v>
      </c>
      <c r="C12" s="473">
        <f>CEILING(B12*$B$1*$B$2, 50)</f>
        <v>3050</v>
      </c>
    </row>
    <row r="13" spans="1:6">
      <c r="A13" s="475" t="s">
        <v>347</v>
      </c>
      <c r="B13" s="478">
        <f>B6*2+B8</f>
        <v>28.6</v>
      </c>
      <c r="C13" s="473">
        <f t="shared" ref="C13:C15" si="1">CEILING(B13*$B$1*$B$2, 50)</f>
        <v>4100</v>
      </c>
    </row>
    <row r="14" spans="1:6">
      <c r="A14" s="475" t="s">
        <v>348</v>
      </c>
      <c r="B14" s="478">
        <f>B5*3+B7</f>
        <v>30.700000000000003</v>
      </c>
      <c r="C14" s="473">
        <f t="shared" si="1"/>
        <v>4400</v>
      </c>
    </row>
    <row r="15" spans="1:6">
      <c r="A15" s="475" t="s">
        <v>349</v>
      </c>
      <c r="B15" s="478">
        <f>B6*3+B8</f>
        <v>41.5</v>
      </c>
      <c r="C15" s="473">
        <f t="shared" si="1"/>
        <v>5950</v>
      </c>
    </row>
    <row r="17" spans="1:3">
      <c r="A17" s="8" t="s">
        <v>350</v>
      </c>
    </row>
    <row r="18" spans="1:3" ht="30">
      <c r="A18" s="475" t="s">
        <v>351</v>
      </c>
      <c r="B18" s="478">
        <f>B7+B9*2</f>
        <v>4.7</v>
      </c>
      <c r="C18" s="473">
        <f>CEILING(B18*$B$1*$B$2, 50)</f>
        <v>700</v>
      </c>
    </row>
    <row r="19" spans="1:3" ht="30">
      <c r="A19" s="475" t="s">
        <v>352</v>
      </c>
      <c r="B19" s="478">
        <f>B8+B9*2</f>
        <v>5</v>
      </c>
      <c r="C19" s="473">
        <f>CEILING(B19*$B$1*$B$2, 50)</f>
        <v>750</v>
      </c>
    </row>
    <row r="20" spans="1:3" ht="30">
      <c r="A20" s="475" t="s">
        <v>353</v>
      </c>
      <c r="B20" s="478">
        <f>B7+B9*3</f>
        <v>5.8000000000000007</v>
      </c>
      <c r="C20" s="473">
        <f>CEILING(B20*$B$1*$B$2, 50)</f>
        <v>850</v>
      </c>
    </row>
    <row r="21" spans="1:3" ht="30">
      <c r="A21" s="475" t="s">
        <v>354</v>
      </c>
      <c r="B21" s="478">
        <f>B8+B9*3</f>
        <v>6.1</v>
      </c>
      <c r="C21" s="473">
        <f>CEILING(B21*$B$1*$B$2, 50)</f>
        <v>900</v>
      </c>
    </row>
    <row r="23" spans="1:3">
      <c r="A23" s="8" t="s">
        <v>359</v>
      </c>
    </row>
    <row r="24" spans="1:3" ht="30">
      <c r="A24" s="475" t="s">
        <v>360</v>
      </c>
      <c r="B24" s="478">
        <f>B5*2+1</f>
        <v>19.8</v>
      </c>
      <c r="C24" s="473">
        <f>CEILING(B24*$B$1*$B$2, 50)</f>
        <v>2850</v>
      </c>
    </row>
    <row r="25" spans="1:3" ht="30">
      <c r="A25" s="475" t="s">
        <v>361</v>
      </c>
      <c r="B25" s="478">
        <f>B6*2+1</f>
        <v>26.8</v>
      </c>
      <c r="C25" s="473">
        <f>CEILING(B25*$B$1*$B$2, 10)</f>
        <v>3840</v>
      </c>
    </row>
    <row r="26" spans="1:3" ht="30">
      <c r="A26" s="475" t="s">
        <v>362</v>
      </c>
      <c r="B26" s="478">
        <f>B5*3+1</f>
        <v>29.200000000000003</v>
      </c>
      <c r="C26" s="473">
        <f>CEILING(B26*$B$1*$B$2, 50)</f>
        <v>4200</v>
      </c>
    </row>
    <row r="27" spans="1:3" ht="30">
      <c r="A27" s="475" t="s">
        <v>363</v>
      </c>
      <c r="B27" s="478">
        <f>B6*3+1</f>
        <v>39.700000000000003</v>
      </c>
      <c r="C27" s="473">
        <f>CEILING(B27*$B$1*$B$2, 50)</f>
        <v>5700</v>
      </c>
    </row>
  </sheetData>
  <sheetProtection password="E910" sheet="1" objects="1" scenarios="1"/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view="pageBreakPreview" zoomScale="180" zoomScaleSheetLayoutView="180" workbookViewId="0">
      <selection activeCell="B6" sqref="B6"/>
    </sheetView>
  </sheetViews>
  <sheetFormatPr defaultColWidth="12.42578125" defaultRowHeight="15"/>
  <cols>
    <col min="1" max="1" width="2.5703125" style="17" customWidth="1"/>
    <col min="2" max="2" width="12" style="17" customWidth="1"/>
    <col min="3" max="4" width="10.7109375" style="17" customWidth="1"/>
    <col min="5" max="5" width="10.7109375" style="15" customWidth="1"/>
    <col min="6" max="7" width="10.7109375" style="17" customWidth="1"/>
    <col min="8" max="8" width="10.7109375" style="53" customWidth="1"/>
    <col min="9" max="9" width="13.7109375" style="17" customWidth="1"/>
    <col min="10" max="10" width="2.140625" style="17" customWidth="1"/>
    <col min="11" max="16384" width="12.42578125" style="17"/>
  </cols>
  <sheetData>
    <row r="2" spans="2:9">
      <c r="C2" s="30"/>
      <c r="D2" s="31"/>
      <c r="E2" s="13"/>
      <c r="F2" s="30"/>
      <c r="G2" s="30"/>
      <c r="H2" s="32"/>
      <c r="I2" s="30"/>
    </row>
    <row r="3" spans="2:9" ht="12">
      <c r="C3" s="30"/>
      <c r="D3" s="33"/>
      <c r="E3" s="14"/>
      <c r="F3" s="173"/>
      <c r="G3" s="173"/>
      <c r="H3" s="35"/>
      <c r="I3" s="173"/>
    </row>
    <row r="4" spans="2:9" ht="12.75" customHeight="1">
      <c r="C4" s="30"/>
      <c r="D4" s="555"/>
      <c r="E4" s="555"/>
      <c r="F4" s="555"/>
      <c r="G4" s="555"/>
      <c r="H4" s="555"/>
      <c r="I4" s="555"/>
    </row>
    <row r="5" spans="2:9" ht="12.75" customHeight="1">
      <c r="C5" s="556"/>
      <c r="D5" s="556"/>
      <c r="E5" s="556"/>
      <c r="F5" s="556"/>
      <c r="G5" s="556"/>
      <c r="H5" s="556"/>
      <c r="I5" s="556"/>
    </row>
    <row r="6" spans="2:9" ht="20.25">
      <c r="B6" s="7" t="s">
        <v>0</v>
      </c>
      <c r="D6" s="591"/>
      <c r="E6" s="591"/>
      <c r="F6" s="591"/>
      <c r="G6" s="591"/>
      <c r="H6" s="591"/>
      <c r="I6" s="591"/>
    </row>
    <row r="7" spans="2:9" ht="20.25">
      <c r="B7" s="7"/>
      <c r="D7" s="174"/>
      <c r="E7" s="174"/>
      <c r="F7" s="174"/>
      <c r="G7" s="174"/>
      <c r="H7" s="174"/>
      <c r="I7" s="174"/>
    </row>
    <row r="8" spans="2:9" ht="10.5" customHeight="1">
      <c r="B8" s="7"/>
      <c r="D8" s="174"/>
      <c r="E8" s="174"/>
      <c r="F8" s="174"/>
      <c r="G8" s="174"/>
      <c r="H8" s="174"/>
      <c r="I8" s="174"/>
    </row>
    <row r="9" spans="2:9" ht="10.5" customHeight="1">
      <c r="B9" s="276" t="s">
        <v>239</v>
      </c>
      <c r="D9" s="174"/>
      <c r="E9" s="174"/>
      <c r="F9" s="174"/>
      <c r="G9" s="174"/>
      <c r="H9" s="174"/>
      <c r="I9" s="174"/>
    </row>
    <row r="10" spans="2:9" s="27" customFormat="1" ht="15" customHeight="1">
      <c r="B10" s="603" t="s">
        <v>249</v>
      </c>
      <c r="C10" s="280" t="s">
        <v>237</v>
      </c>
      <c r="D10" s="605" t="s">
        <v>236</v>
      </c>
      <c r="E10" s="605"/>
      <c r="F10" s="605"/>
      <c r="G10" s="605"/>
      <c r="H10" s="605"/>
    </row>
    <row r="11" spans="2:9" s="275" customFormat="1" ht="11.25">
      <c r="B11" s="604"/>
      <c r="C11" s="281">
        <v>900</v>
      </c>
      <c r="D11" s="279">
        <v>1900</v>
      </c>
      <c r="E11" s="279">
        <v>2000</v>
      </c>
      <c r="F11" s="279">
        <v>2100</v>
      </c>
      <c r="G11" s="279">
        <v>2200</v>
      </c>
      <c r="H11" s="279">
        <v>2300</v>
      </c>
    </row>
    <row r="12" spans="2:9" ht="11.25">
      <c r="B12" s="282" t="s">
        <v>307</v>
      </c>
      <c r="C12" s="444">
        <v>0.1</v>
      </c>
      <c r="D12" s="445">
        <v>0.1</v>
      </c>
      <c r="E12" s="445">
        <v>0</v>
      </c>
      <c r="F12" s="445">
        <v>0.05</v>
      </c>
      <c r="G12" s="445">
        <v>0.2</v>
      </c>
      <c r="H12" s="445">
        <v>0.3</v>
      </c>
    </row>
    <row r="13" spans="2:9" s="47" customFormat="1" ht="12">
      <c r="E13" s="255"/>
      <c r="H13" s="48"/>
    </row>
  </sheetData>
  <sheetProtection selectLockedCells="1" selectUnlockedCells="1"/>
  <mergeCells count="5">
    <mergeCell ref="D4:I4"/>
    <mergeCell ref="C5:I5"/>
    <mergeCell ref="D6:I6"/>
    <mergeCell ref="D10:H10"/>
    <mergeCell ref="B10:B11"/>
  </mergeCells>
  <hyperlinks>
    <hyperlink ref="B6" location="Содержание!A1" display="Содержание"/>
  </hyperlinks>
  <pageMargins left="0.19652777777777777" right="0.19652777777777777" top="0.19652777777777777" bottom="0.19652777777777777" header="0.51180555555555551" footer="0.51180555555555551"/>
  <pageSetup paperSize="9" scale="105" firstPageNumber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56"/>
  <sheetViews>
    <sheetView view="pageBreakPreview" zoomScale="130" zoomScaleNormal="80" zoomScaleSheetLayoutView="130" workbookViewId="0">
      <selection activeCell="H32" sqref="H32"/>
    </sheetView>
  </sheetViews>
  <sheetFormatPr defaultColWidth="9.140625" defaultRowHeight="11.25"/>
  <cols>
    <col min="1" max="1" width="11.28515625" style="17" bestFit="1" customWidth="1"/>
    <col min="2" max="2" width="14.140625" style="17" customWidth="1"/>
    <col min="3" max="3" width="17.140625" style="422" customWidth="1"/>
    <col min="4" max="4" width="23.85546875" style="17" bestFit="1" customWidth="1"/>
    <col min="5" max="5" width="17.7109375" style="17" customWidth="1"/>
    <col min="6" max="7" width="9.140625" style="17"/>
    <col min="8" max="8" width="30" style="17" customWidth="1"/>
    <col min="9" max="16384" width="9.140625" style="17"/>
  </cols>
  <sheetData>
    <row r="3" spans="1:15" s="27" customFormat="1" ht="23.25" customHeight="1">
      <c r="A3" s="406" t="s">
        <v>156</v>
      </c>
      <c r="B3" s="406" t="s">
        <v>155</v>
      </c>
      <c r="C3" s="539" t="s">
        <v>49</v>
      </c>
      <c r="D3" s="540"/>
      <c r="E3" s="431" t="s">
        <v>67</v>
      </c>
      <c r="I3" s="28"/>
      <c r="J3" s="29"/>
      <c r="K3" s="29"/>
      <c r="L3" s="29"/>
      <c r="M3" s="29"/>
      <c r="N3" s="29"/>
      <c r="O3" s="17"/>
    </row>
    <row r="4" spans="1:15" ht="12.75">
      <c r="A4" s="409">
        <f>Наценки!F2</f>
        <v>0</v>
      </c>
      <c r="B4" s="532" t="s">
        <v>6</v>
      </c>
      <c r="C4" s="523" t="s">
        <v>199</v>
      </c>
      <c r="D4" s="432" t="s">
        <v>68</v>
      </c>
      <c r="E4" s="414" t="s">
        <v>303</v>
      </c>
      <c r="I4" s="28"/>
      <c r="J4" s="28"/>
      <c r="K4" s="29"/>
      <c r="L4" s="29"/>
      <c r="M4" s="28"/>
      <c r="N4" s="29"/>
    </row>
    <row r="5" spans="1:15" ht="12.75">
      <c r="A5" s="410"/>
      <c r="B5" s="532"/>
      <c r="C5" s="524"/>
      <c r="D5" s="415" t="s">
        <v>69</v>
      </c>
      <c r="E5" s="418"/>
      <c r="I5" s="29"/>
      <c r="J5" s="28"/>
      <c r="K5" s="29"/>
      <c r="L5" s="29"/>
      <c r="M5" s="28"/>
      <c r="N5" s="29"/>
    </row>
    <row r="6" spans="1:15" ht="12.75">
      <c r="A6" s="410"/>
      <c r="B6" s="532"/>
      <c r="C6" s="524"/>
      <c r="D6" s="415" t="s">
        <v>314</v>
      </c>
      <c r="E6" s="418"/>
      <c r="I6" s="29"/>
      <c r="J6" s="28"/>
      <c r="K6" s="29"/>
      <c r="L6" s="29"/>
      <c r="M6" s="28"/>
      <c r="N6" s="29"/>
    </row>
    <row r="7" spans="1:15" ht="12.75">
      <c r="A7" s="410"/>
      <c r="B7" s="532"/>
      <c r="C7" s="524"/>
      <c r="D7" s="415" t="s">
        <v>70</v>
      </c>
      <c r="E7" s="418"/>
      <c r="I7" s="29"/>
      <c r="J7" s="28"/>
      <c r="K7" s="29"/>
      <c r="L7" s="29"/>
      <c r="M7" s="28"/>
      <c r="N7" s="29"/>
    </row>
    <row r="8" spans="1:15" ht="12.75">
      <c r="A8" s="433"/>
      <c r="B8" s="532"/>
      <c r="C8" s="525"/>
      <c r="D8" s="434" t="s">
        <v>71</v>
      </c>
      <c r="E8" s="419"/>
      <c r="I8" s="29"/>
      <c r="J8" s="28"/>
      <c r="K8" s="29"/>
      <c r="L8" s="29"/>
      <c r="M8" s="28"/>
      <c r="N8" s="29"/>
    </row>
    <row r="9" spans="1:15" ht="12.75">
      <c r="A9" s="435">
        <f>Наценки!F3</f>
        <v>0.05</v>
      </c>
      <c r="B9" s="533" t="s">
        <v>7</v>
      </c>
      <c r="C9" s="526" t="s">
        <v>199</v>
      </c>
      <c r="D9" s="423" t="s">
        <v>315</v>
      </c>
      <c r="E9" s="412"/>
      <c r="I9" s="29"/>
      <c r="J9" s="28"/>
      <c r="K9" s="29"/>
      <c r="L9" s="29"/>
      <c r="M9" s="29"/>
      <c r="N9" s="29"/>
    </row>
    <row r="10" spans="1:15" ht="12.75">
      <c r="A10" s="408"/>
      <c r="B10" s="534"/>
      <c r="C10" s="527"/>
      <c r="D10" s="413" t="s">
        <v>316</v>
      </c>
      <c r="E10" s="413"/>
      <c r="I10" s="29"/>
      <c r="J10" s="28"/>
      <c r="K10" s="29"/>
      <c r="L10" s="29"/>
      <c r="M10" s="29"/>
      <c r="N10" s="29"/>
    </row>
    <row r="11" spans="1:15" ht="12.75">
      <c r="A11" s="408"/>
      <c r="B11" s="534"/>
      <c r="C11" s="527"/>
      <c r="D11" s="413" t="s">
        <v>317</v>
      </c>
      <c r="E11" s="413"/>
      <c r="I11" s="29"/>
      <c r="K11" s="29"/>
      <c r="L11" s="29"/>
      <c r="M11" s="29"/>
      <c r="N11" s="29"/>
    </row>
    <row r="12" spans="1:15" ht="12.75">
      <c r="A12" s="408"/>
      <c r="B12" s="534"/>
      <c r="C12" s="527"/>
      <c r="D12" s="413" t="s">
        <v>72</v>
      </c>
      <c r="E12" s="413"/>
      <c r="I12" s="29"/>
      <c r="K12" s="29"/>
      <c r="L12" s="29"/>
      <c r="M12" s="29"/>
      <c r="N12" s="29"/>
    </row>
    <row r="13" spans="1:15" ht="12.75">
      <c r="A13" s="408"/>
      <c r="B13" s="534"/>
      <c r="C13" s="528"/>
      <c r="D13" s="424" t="s">
        <v>73</v>
      </c>
      <c r="E13" s="413"/>
      <c r="I13" s="29"/>
      <c r="K13" s="29"/>
      <c r="L13" s="29"/>
      <c r="M13" s="29"/>
      <c r="N13" s="29"/>
    </row>
    <row r="14" spans="1:15" ht="12.75">
      <c r="A14" s="408"/>
      <c r="B14" s="534"/>
      <c r="C14" s="526" t="s">
        <v>198</v>
      </c>
      <c r="D14" s="423" t="s">
        <v>74</v>
      </c>
      <c r="E14" s="413"/>
      <c r="I14" s="29"/>
      <c r="K14" s="29"/>
      <c r="L14" s="29"/>
      <c r="M14" s="29"/>
      <c r="N14" s="29"/>
    </row>
    <row r="15" spans="1:15" ht="12.75">
      <c r="A15" s="408"/>
      <c r="B15" s="534"/>
      <c r="C15" s="527"/>
      <c r="D15" s="413" t="s">
        <v>75</v>
      </c>
      <c r="E15" s="413"/>
      <c r="I15" s="29"/>
      <c r="K15" s="29"/>
      <c r="L15" s="29"/>
      <c r="M15" s="29"/>
      <c r="N15" s="29"/>
    </row>
    <row r="16" spans="1:15" ht="12.75">
      <c r="A16" s="408"/>
      <c r="B16" s="534"/>
      <c r="C16" s="527"/>
      <c r="D16" s="413" t="s">
        <v>76</v>
      </c>
      <c r="E16" s="413"/>
      <c r="I16" s="29"/>
      <c r="K16" s="29"/>
      <c r="L16" s="29"/>
      <c r="M16" s="29"/>
      <c r="N16" s="29"/>
    </row>
    <row r="17" spans="1:15" ht="12.75">
      <c r="A17" s="436"/>
      <c r="B17" s="534"/>
      <c r="C17" s="528"/>
      <c r="D17" s="424" t="s">
        <v>77</v>
      </c>
      <c r="E17" s="413"/>
      <c r="K17" s="29"/>
    </row>
    <row r="18" spans="1:15" ht="12.75">
      <c r="A18" s="437">
        <f>Наценки!F4</f>
        <v>0.1</v>
      </c>
      <c r="B18" s="464" t="s">
        <v>8</v>
      </c>
      <c r="C18" s="541" t="s">
        <v>199</v>
      </c>
      <c r="D18" s="414" t="s">
        <v>79</v>
      </c>
      <c r="E18" s="418"/>
      <c r="I18" s="29"/>
      <c r="J18" s="29"/>
      <c r="K18" s="29"/>
      <c r="L18" s="29"/>
      <c r="M18" s="29"/>
      <c r="N18" s="29"/>
      <c r="O18" s="29"/>
    </row>
    <row r="19" spans="1:15" ht="12.75">
      <c r="A19" s="438"/>
      <c r="B19" s="462"/>
      <c r="C19" s="542"/>
      <c r="D19" s="419" t="s">
        <v>318</v>
      </c>
      <c r="E19" s="418"/>
      <c r="I19" s="29"/>
      <c r="J19" s="29"/>
      <c r="K19" s="29"/>
      <c r="L19" s="29"/>
      <c r="M19" s="29"/>
      <c r="N19" s="29"/>
      <c r="O19" s="29"/>
    </row>
    <row r="20" spans="1:15" ht="12.75">
      <c r="A20" s="438"/>
      <c r="B20" s="462"/>
      <c r="C20" s="523" t="s">
        <v>200</v>
      </c>
      <c r="D20" s="415" t="s">
        <v>78</v>
      </c>
      <c r="E20" s="418"/>
      <c r="I20" s="29"/>
      <c r="J20" s="29"/>
      <c r="K20" s="29"/>
      <c r="L20" s="29"/>
      <c r="M20" s="29"/>
      <c r="N20" s="29"/>
      <c r="O20" s="29"/>
    </row>
    <row r="21" spans="1:15" ht="12.75">
      <c r="A21" s="438"/>
      <c r="B21" s="462"/>
      <c r="C21" s="524"/>
      <c r="D21" s="415" t="s">
        <v>319</v>
      </c>
      <c r="E21" s="418"/>
      <c r="I21" s="29"/>
      <c r="J21" s="29"/>
      <c r="K21" s="29"/>
      <c r="L21" s="29"/>
      <c r="M21" s="29"/>
      <c r="N21" s="29"/>
      <c r="O21" s="29"/>
    </row>
    <row r="22" spans="1:15" ht="12.75">
      <c r="A22" s="438"/>
      <c r="B22" s="462"/>
      <c r="C22" s="524"/>
      <c r="D22" s="415" t="s">
        <v>320</v>
      </c>
      <c r="E22" s="418"/>
      <c r="I22" s="29"/>
      <c r="J22" s="29"/>
      <c r="K22" s="29"/>
      <c r="L22" s="29"/>
      <c r="M22" s="29"/>
      <c r="N22" s="29"/>
      <c r="O22" s="29"/>
    </row>
    <row r="23" spans="1:15" ht="12.75">
      <c r="A23" s="438"/>
      <c r="B23" s="462"/>
      <c r="C23" s="524"/>
      <c r="D23" s="415" t="s">
        <v>321</v>
      </c>
      <c r="E23" s="418"/>
      <c r="I23" s="29"/>
      <c r="J23" s="29"/>
      <c r="K23" s="29"/>
      <c r="L23" s="29"/>
      <c r="M23" s="29"/>
      <c r="N23" s="29"/>
      <c r="O23" s="29"/>
    </row>
    <row r="24" spans="1:15" ht="12.75">
      <c r="A24" s="438"/>
      <c r="B24" s="462"/>
      <c r="C24" s="524"/>
      <c r="D24" s="415" t="s">
        <v>83</v>
      </c>
      <c r="E24" s="418"/>
      <c r="I24" s="29"/>
      <c r="J24" s="29"/>
      <c r="K24" s="29"/>
      <c r="L24" s="29"/>
      <c r="M24" s="29"/>
      <c r="N24" s="29"/>
      <c r="O24" s="29"/>
    </row>
    <row r="25" spans="1:15" ht="12.75">
      <c r="A25" s="438"/>
      <c r="B25" s="462"/>
      <c r="C25" s="524"/>
      <c r="D25" s="415" t="s">
        <v>80</v>
      </c>
      <c r="E25" s="418"/>
      <c r="I25" s="29"/>
      <c r="J25" s="29"/>
      <c r="K25" s="29"/>
      <c r="L25" s="29"/>
      <c r="M25" s="29"/>
      <c r="N25" s="29"/>
      <c r="O25" s="29"/>
    </row>
    <row r="26" spans="1:15" ht="12.75">
      <c r="A26" s="438"/>
      <c r="B26" s="462"/>
      <c r="C26" s="524"/>
      <c r="D26" s="415" t="s">
        <v>81</v>
      </c>
      <c r="E26" s="418"/>
      <c r="I26" s="29"/>
      <c r="J26" s="29"/>
      <c r="K26" s="29"/>
      <c r="L26" s="29"/>
      <c r="M26" s="29"/>
      <c r="N26" s="29"/>
      <c r="O26" s="29"/>
    </row>
    <row r="27" spans="1:15" ht="12.75">
      <c r="A27" s="438"/>
      <c r="B27" s="462"/>
      <c r="C27" s="525"/>
      <c r="D27" s="415" t="s">
        <v>82</v>
      </c>
      <c r="E27" s="418"/>
      <c r="I27" s="29"/>
      <c r="J27" s="29"/>
      <c r="K27" s="29"/>
      <c r="L27" s="29"/>
      <c r="M27" s="29"/>
      <c r="N27" s="29"/>
      <c r="O27" s="29"/>
    </row>
    <row r="28" spans="1:15" ht="12.75">
      <c r="A28" s="438"/>
      <c r="B28" s="462"/>
      <c r="C28" s="523" t="s">
        <v>201</v>
      </c>
      <c r="D28" s="414" t="s">
        <v>84</v>
      </c>
      <c r="E28" s="418"/>
      <c r="I28" s="29"/>
      <c r="J28" s="29"/>
      <c r="K28" s="29"/>
      <c r="L28" s="29"/>
      <c r="M28" s="29"/>
      <c r="N28" s="29"/>
      <c r="O28" s="29"/>
    </row>
    <row r="29" spans="1:15" ht="12.75">
      <c r="A29" s="438"/>
      <c r="B29" s="462"/>
      <c r="C29" s="525"/>
      <c r="D29" s="419" t="s">
        <v>85</v>
      </c>
      <c r="E29" s="418"/>
      <c r="I29" s="29"/>
      <c r="J29" s="29"/>
      <c r="K29" s="29"/>
      <c r="L29" s="29"/>
      <c r="M29" s="29"/>
      <c r="N29" s="29"/>
      <c r="O29" s="29"/>
    </row>
    <row r="30" spans="1:15" ht="12.75">
      <c r="A30" s="438"/>
      <c r="B30" s="462"/>
      <c r="C30" s="523" t="s">
        <v>202</v>
      </c>
      <c r="D30" s="415" t="s">
        <v>322</v>
      </c>
      <c r="E30" s="418"/>
      <c r="I30" s="29"/>
      <c r="J30" s="29"/>
      <c r="K30" s="29"/>
      <c r="L30" s="29"/>
      <c r="M30" s="29"/>
      <c r="N30" s="29"/>
      <c r="O30" s="29"/>
    </row>
    <row r="31" spans="1:15" ht="12.75" customHeight="1">
      <c r="A31" s="438"/>
      <c r="B31" s="462"/>
      <c r="C31" s="524"/>
      <c r="D31" s="415" t="s">
        <v>323</v>
      </c>
      <c r="E31" s="418"/>
    </row>
    <row r="32" spans="1:15" ht="12.75" customHeight="1">
      <c r="A32" s="438"/>
      <c r="B32" s="462"/>
      <c r="C32" s="524"/>
      <c r="D32" s="415" t="s">
        <v>324</v>
      </c>
      <c r="E32" s="418"/>
    </row>
    <row r="33" spans="1:15" ht="12.75" customHeight="1">
      <c r="A33" s="438"/>
      <c r="B33" s="462"/>
      <c r="C33" s="524"/>
      <c r="D33" s="415" t="s">
        <v>325</v>
      </c>
      <c r="E33" s="418"/>
    </row>
    <row r="34" spans="1:15" ht="11.25" customHeight="1">
      <c r="A34" s="438"/>
      <c r="B34" s="463"/>
      <c r="C34" s="525"/>
      <c r="D34" s="434" t="s">
        <v>326</v>
      </c>
      <c r="E34" s="419"/>
    </row>
    <row r="35" spans="1:15" ht="15" customHeight="1">
      <c r="A35" s="466">
        <f>Наценки!F5</f>
        <v>0.15</v>
      </c>
      <c r="B35" s="535" t="s">
        <v>9</v>
      </c>
      <c r="C35" s="526" t="s">
        <v>200</v>
      </c>
      <c r="D35" s="416" t="s">
        <v>327</v>
      </c>
      <c r="E35" s="412"/>
      <c r="I35" s="29"/>
      <c r="J35" s="29"/>
      <c r="K35" s="29"/>
      <c r="L35" s="29"/>
      <c r="M35" s="29"/>
      <c r="N35" s="29"/>
      <c r="O35" s="29"/>
    </row>
    <row r="36" spans="1:15" ht="12.75">
      <c r="A36" s="408"/>
      <c r="B36" s="534"/>
      <c r="C36" s="527"/>
      <c r="D36" s="417" t="s">
        <v>328</v>
      </c>
      <c r="E36" s="413"/>
      <c r="I36" s="29"/>
      <c r="J36" s="29"/>
      <c r="K36" s="29"/>
      <c r="L36" s="29"/>
      <c r="M36" s="29"/>
      <c r="N36" s="29"/>
      <c r="O36" s="29"/>
    </row>
    <row r="37" spans="1:15" ht="12.75">
      <c r="A37" s="408"/>
      <c r="B37" s="534"/>
      <c r="C37" s="527"/>
      <c r="D37" s="417" t="s">
        <v>329</v>
      </c>
      <c r="E37" s="413"/>
      <c r="I37" s="29"/>
      <c r="J37" s="29"/>
      <c r="K37" s="29"/>
      <c r="L37" s="29"/>
      <c r="M37" s="29"/>
      <c r="N37" s="29"/>
      <c r="O37" s="29"/>
    </row>
    <row r="38" spans="1:15" ht="12.75">
      <c r="A38" s="408"/>
      <c r="B38" s="534"/>
      <c r="C38" s="537" t="s">
        <v>203</v>
      </c>
      <c r="D38" s="423" t="s">
        <v>331</v>
      </c>
      <c r="E38" s="449"/>
      <c r="I38" s="29"/>
      <c r="J38" s="29"/>
      <c r="K38" s="29"/>
      <c r="L38" s="29"/>
      <c r="M38" s="29"/>
      <c r="N38" s="29"/>
      <c r="O38" s="29"/>
    </row>
    <row r="39" spans="1:15" ht="12.75">
      <c r="A39" s="408"/>
      <c r="B39" s="534"/>
      <c r="C39" s="538"/>
      <c r="D39" s="413" t="s">
        <v>332</v>
      </c>
      <c r="E39" s="449"/>
      <c r="I39" s="29"/>
      <c r="J39" s="29"/>
      <c r="K39" s="29"/>
      <c r="L39" s="29"/>
      <c r="M39" s="29"/>
      <c r="N39" s="29"/>
      <c r="O39" s="29"/>
    </row>
    <row r="40" spans="1:15" ht="12.75">
      <c r="A40" s="408"/>
      <c r="B40" s="534"/>
      <c r="C40" s="538"/>
      <c r="D40" s="413" t="s">
        <v>333</v>
      </c>
      <c r="E40" s="449"/>
      <c r="I40" s="29"/>
      <c r="J40" s="29"/>
      <c r="K40" s="29"/>
      <c r="L40" s="29"/>
      <c r="M40" s="29"/>
      <c r="N40" s="29"/>
      <c r="O40" s="29"/>
    </row>
    <row r="41" spans="1:15" ht="12.75">
      <c r="A41" s="408"/>
      <c r="B41" s="534"/>
      <c r="C41" s="538"/>
      <c r="D41" s="450" t="s">
        <v>334</v>
      </c>
      <c r="E41" s="449"/>
      <c r="I41" s="29"/>
      <c r="J41" s="29"/>
      <c r="K41" s="29"/>
      <c r="L41" s="29"/>
      <c r="M41" s="29"/>
      <c r="N41" s="29"/>
      <c r="O41" s="29"/>
    </row>
    <row r="42" spans="1:15" ht="15" customHeight="1">
      <c r="A42" s="467"/>
      <c r="B42" s="534"/>
      <c r="C42" s="526" t="s">
        <v>199</v>
      </c>
      <c r="D42" s="417" t="s">
        <v>212</v>
      </c>
      <c r="E42" s="412"/>
      <c r="I42" s="29"/>
      <c r="J42" s="29"/>
      <c r="K42" s="29"/>
      <c r="L42" s="29"/>
      <c r="M42" s="29"/>
      <c r="N42" s="29"/>
      <c r="O42" s="29"/>
    </row>
    <row r="43" spans="1:15" ht="12.75">
      <c r="A43" s="408"/>
      <c r="B43" s="534"/>
      <c r="C43" s="527"/>
      <c r="D43" s="417" t="s">
        <v>213</v>
      </c>
      <c r="E43" s="413"/>
      <c r="I43" s="29"/>
      <c r="J43" s="29"/>
      <c r="K43" s="29"/>
      <c r="L43" s="29"/>
      <c r="M43" s="29"/>
      <c r="N43" s="29"/>
      <c r="O43" s="29"/>
    </row>
    <row r="44" spans="1:15" ht="12.75">
      <c r="A44" s="465"/>
      <c r="B44" s="536"/>
      <c r="C44" s="528"/>
      <c r="D44" s="439" t="s">
        <v>214</v>
      </c>
      <c r="E44" s="413"/>
      <c r="I44" s="29"/>
      <c r="J44" s="29"/>
      <c r="K44" s="29"/>
      <c r="L44" s="29"/>
      <c r="M44" s="29"/>
      <c r="N44" s="29"/>
      <c r="O44" s="29"/>
    </row>
    <row r="45" spans="1:15" ht="15" customHeight="1">
      <c r="A45" s="407">
        <f>Наценки!F6</f>
        <v>0.2</v>
      </c>
      <c r="B45" s="535" t="s">
        <v>10</v>
      </c>
      <c r="C45" s="526" t="s">
        <v>200</v>
      </c>
      <c r="D45" s="423" t="s">
        <v>336</v>
      </c>
      <c r="E45" s="412"/>
      <c r="I45" s="29"/>
      <c r="J45" s="29"/>
      <c r="K45" s="29"/>
      <c r="L45" s="29"/>
      <c r="M45" s="29"/>
      <c r="N45" s="29"/>
      <c r="O45" s="29"/>
    </row>
    <row r="46" spans="1:15" ht="15" customHeight="1">
      <c r="A46" s="467"/>
      <c r="B46" s="534"/>
      <c r="C46" s="527"/>
      <c r="D46" s="413" t="s">
        <v>335</v>
      </c>
      <c r="E46" s="413"/>
      <c r="I46" s="29"/>
      <c r="J46" s="29"/>
      <c r="K46" s="29"/>
      <c r="L46" s="29"/>
      <c r="M46" s="29"/>
      <c r="N46" s="29"/>
      <c r="O46" s="29"/>
    </row>
    <row r="47" spans="1:15" ht="15" customHeight="1">
      <c r="A47" s="467"/>
      <c r="B47" s="534"/>
      <c r="C47" s="528"/>
      <c r="D47" s="413"/>
      <c r="E47" s="413"/>
      <c r="I47" s="29"/>
      <c r="J47" s="29"/>
      <c r="K47" s="29"/>
      <c r="L47" s="29"/>
      <c r="M47" s="29"/>
      <c r="N47" s="29"/>
      <c r="O47" s="29"/>
    </row>
    <row r="48" spans="1:15" ht="15" hidden="1" customHeight="1">
      <c r="A48" s="467"/>
      <c r="B48" s="534"/>
      <c r="C48" s="526" t="s">
        <v>330</v>
      </c>
      <c r="D48" s="423" t="s">
        <v>309</v>
      </c>
      <c r="E48" s="413"/>
      <c r="I48" s="29"/>
      <c r="J48" s="29"/>
      <c r="K48" s="29"/>
      <c r="L48" s="29"/>
      <c r="M48" s="29"/>
      <c r="N48" s="29"/>
      <c r="O48" s="29"/>
    </row>
    <row r="49" spans="1:15" ht="12.75" hidden="1">
      <c r="A49" s="408"/>
      <c r="B49" s="534"/>
      <c r="C49" s="527"/>
      <c r="D49" s="413" t="s">
        <v>310</v>
      </c>
      <c r="E49" s="413"/>
      <c r="I49" s="29"/>
      <c r="J49" s="29"/>
      <c r="K49" s="29"/>
      <c r="L49" s="29"/>
      <c r="M49" s="29"/>
      <c r="N49" s="29"/>
      <c r="O49" s="29"/>
    </row>
    <row r="50" spans="1:15" ht="12.75" hidden="1">
      <c r="A50" s="408"/>
      <c r="B50" s="534"/>
      <c r="C50" s="527"/>
      <c r="D50" s="413" t="s">
        <v>311</v>
      </c>
      <c r="E50" s="413"/>
      <c r="I50" s="29"/>
      <c r="J50" s="29"/>
      <c r="K50" s="29"/>
      <c r="L50" s="29"/>
      <c r="M50" s="29"/>
      <c r="N50" s="29"/>
      <c r="O50" s="29"/>
    </row>
    <row r="51" spans="1:15" ht="12.75" hidden="1">
      <c r="A51" s="408"/>
      <c r="B51" s="534"/>
      <c r="C51" s="528"/>
      <c r="D51" s="424" t="s">
        <v>312</v>
      </c>
      <c r="E51" s="413"/>
      <c r="I51" s="29"/>
      <c r="J51" s="29"/>
      <c r="K51" s="29"/>
      <c r="L51" s="29"/>
      <c r="M51" s="29"/>
      <c r="N51" s="29"/>
      <c r="O51" s="29"/>
    </row>
    <row r="52" spans="1:15" ht="11.25" customHeight="1">
      <c r="A52" s="440"/>
      <c r="B52" s="529" t="s">
        <v>11</v>
      </c>
      <c r="C52" s="441"/>
      <c r="D52" s="442"/>
      <c r="E52" s="414" t="s">
        <v>86</v>
      </c>
    </row>
    <row r="53" spans="1:15" ht="11.25" customHeight="1">
      <c r="A53" s="410"/>
      <c r="B53" s="530"/>
      <c r="C53" s="420"/>
      <c r="D53" s="158"/>
      <c r="E53" s="418" t="s">
        <v>87</v>
      </c>
    </row>
    <row r="54" spans="1:15" ht="11.25" customHeight="1">
      <c r="A54" s="410"/>
      <c r="B54" s="530"/>
      <c r="C54" s="420"/>
      <c r="D54" s="158"/>
      <c r="E54" s="418" t="s">
        <v>88</v>
      </c>
    </row>
    <row r="55" spans="1:15" ht="11.25" customHeight="1">
      <c r="A55" s="410"/>
      <c r="B55" s="530"/>
      <c r="C55" s="420"/>
      <c r="D55" s="158"/>
      <c r="E55" s="418" t="s">
        <v>89</v>
      </c>
    </row>
    <row r="56" spans="1:15" ht="11.25" customHeight="1">
      <c r="A56" s="443"/>
      <c r="B56" s="531"/>
      <c r="C56" s="421"/>
      <c r="D56" s="411"/>
      <c r="E56" s="419"/>
    </row>
  </sheetData>
  <mergeCells count="18">
    <mergeCell ref="C3:D3"/>
    <mergeCell ref="C4:C8"/>
    <mergeCell ref="C9:C13"/>
    <mergeCell ref="C14:C17"/>
    <mergeCell ref="C18:C19"/>
    <mergeCell ref="C20:C27"/>
    <mergeCell ref="C28:C29"/>
    <mergeCell ref="C42:C44"/>
    <mergeCell ref="B52:B56"/>
    <mergeCell ref="B4:B8"/>
    <mergeCell ref="B9:B17"/>
    <mergeCell ref="B45:B51"/>
    <mergeCell ref="B35:B44"/>
    <mergeCell ref="C48:C51"/>
    <mergeCell ref="C45:C47"/>
    <mergeCell ref="C30:C34"/>
    <mergeCell ref="C35:C37"/>
    <mergeCell ref="C38:C41"/>
  </mergeCells>
  <pageMargins left="0.7" right="0.7" top="0.75" bottom="0.75" header="0.3" footer="0.3"/>
  <pageSetup paperSize="9" scale="9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3"/>
  <sheetViews>
    <sheetView topLeftCell="N1" zoomScale="110" zoomScaleNormal="110" workbookViewId="0">
      <selection activeCell="AD11" sqref="AD11"/>
    </sheetView>
  </sheetViews>
  <sheetFormatPr defaultRowHeight="15" outlineLevelCol="1"/>
  <cols>
    <col min="1" max="1" width="9.140625" hidden="1" customWidth="1" outlineLevel="1"/>
    <col min="2" max="2" width="12.5703125" hidden="1" customWidth="1" outlineLevel="1"/>
    <col min="3" max="8" width="9.140625" hidden="1" customWidth="1" outlineLevel="1"/>
    <col min="9" max="9" width="9.140625" style="168" hidden="1" customWidth="1" outlineLevel="1"/>
    <col min="10" max="13" width="9.140625" hidden="1" customWidth="1" outlineLevel="1"/>
    <col min="14" max="14" width="9.140625" collapsed="1"/>
  </cols>
  <sheetData>
    <row r="2" spans="2:12">
      <c r="B2" s="126" t="s">
        <v>6</v>
      </c>
      <c r="C2" s="160"/>
      <c r="D2" s="160"/>
      <c r="E2" s="160"/>
      <c r="F2" s="127"/>
    </row>
    <row r="3" spans="2:12">
      <c r="B3" s="128" t="s">
        <v>7</v>
      </c>
      <c r="C3" s="160"/>
      <c r="D3" s="160"/>
      <c r="E3" s="160"/>
      <c r="F3" s="129">
        <v>0.05</v>
      </c>
    </row>
    <row r="4" spans="2:12">
      <c r="B4" s="126" t="s">
        <v>8</v>
      </c>
      <c r="C4" s="160"/>
      <c r="D4" s="160"/>
      <c r="E4" s="160"/>
      <c r="F4" s="127">
        <v>0.1</v>
      </c>
    </row>
    <row r="5" spans="2:12">
      <c r="B5" s="128" t="s">
        <v>9</v>
      </c>
      <c r="C5" s="160"/>
      <c r="D5" s="160"/>
      <c r="E5" s="160"/>
      <c r="F5" s="129">
        <v>0.15</v>
      </c>
    </row>
    <row r="6" spans="2:12">
      <c r="B6" s="126" t="s">
        <v>10</v>
      </c>
      <c r="C6" s="160"/>
      <c r="D6" s="160"/>
      <c r="E6" s="160"/>
      <c r="F6" s="127">
        <v>0.2</v>
      </c>
    </row>
    <row r="9" spans="2:12">
      <c r="B9" s="168" t="s">
        <v>210</v>
      </c>
    </row>
    <row r="10" spans="2:12" s="17" customFormat="1" ht="10.5" customHeight="1">
      <c r="B10" s="546" t="s">
        <v>1</v>
      </c>
      <c r="C10" s="546"/>
      <c r="D10" s="547"/>
      <c r="E10" s="548"/>
      <c r="F10" s="549"/>
      <c r="G10" s="553" t="s">
        <v>186</v>
      </c>
      <c r="H10" s="554" t="s">
        <v>187</v>
      </c>
      <c r="I10" s="554"/>
      <c r="J10" s="554"/>
      <c r="K10" s="553" t="s">
        <v>188</v>
      </c>
    </row>
    <row r="11" spans="2:12" s="37" customFormat="1" ht="33.4" customHeight="1">
      <c r="B11" s="546"/>
      <c r="C11" s="546"/>
      <c r="D11" s="550"/>
      <c r="E11" s="551"/>
      <c r="F11" s="552"/>
      <c r="G11" s="553"/>
      <c r="H11" s="151" t="s">
        <v>189</v>
      </c>
      <c r="I11" s="165" t="s">
        <v>190</v>
      </c>
      <c r="J11" s="151" t="s">
        <v>191</v>
      </c>
      <c r="K11" s="553"/>
    </row>
    <row r="12" spans="2:12" s="37" customFormat="1" ht="15" customHeight="1">
      <c r="B12" s="543" t="s">
        <v>207</v>
      </c>
      <c r="C12" s="163"/>
      <c r="D12" s="163"/>
      <c r="E12" s="163"/>
      <c r="F12" s="163"/>
      <c r="G12" s="164">
        <f>I12*(G13)</f>
        <v>164</v>
      </c>
      <c r="H12" s="164">
        <f>I12*(1+H13)</f>
        <v>95</v>
      </c>
      <c r="I12" s="164">
        <v>100</v>
      </c>
      <c r="J12" s="164">
        <f>I12*(1+J13)</f>
        <v>105</v>
      </c>
      <c r="K12" s="164">
        <f>I12*(1+K13)</f>
        <v>125</v>
      </c>
    </row>
    <row r="13" spans="2:12">
      <c r="B13" s="544"/>
      <c r="C13" s="160"/>
      <c r="D13" s="160"/>
      <c r="E13" s="160"/>
      <c r="F13" s="160"/>
      <c r="G13" s="163">
        <v>1.64</v>
      </c>
      <c r="H13" s="163">
        <v>-0.05</v>
      </c>
      <c r="I13" s="163" t="s">
        <v>206</v>
      </c>
      <c r="J13" s="162">
        <v>0.05</v>
      </c>
      <c r="K13" s="243">
        <v>0.25</v>
      </c>
    </row>
    <row r="14" spans="2:12">
      <c r="B14" s="544"/>
      <c r="C14" s="160"/>
      <c r="D14" s="160"/>
      <c r="E14" s="160"/>
      <c r="F14" s="161" t="s">
        <v>4</v>
      </c>
      <c r="G14" s="161"/>
      <c r="H14" s="166">
        <f>$G$12/H12-1</f>
        <v>0.72631578947368425</v>
      </c>
      <c r="I14" s="323">
        <f t="shared" ref="I14:J14" si="0">$G$12/I12-1</f>
        <v>0.6399999999999999</v>
      </c>
      <c r="J14" s="166">
        <f t="shared" si="0"/>
        <v>0.56190476190476191</v>
      </c>
      <c r="K14" s="166">
        <f>$G$12/K12-1</f>
        <v>0.31200000000000006</v>
      </c>
    </row>
    <row r="15" spans="2:12">
      <c r="B15" s="545"/>
      <c r="C15" s="160"/>
      <c r="D15" s="160"/>
      <c r="E15" s="160"/>
      <c r="F15" s="161" t="s">
        <v>5</v>
      </c>
      <c r="G15" s="161"/>
      <c r="H15" s="167">
        <f>1-H12/$G$12</f>
        <v>0.42073170731707321</v>
      </c>
      <c r="I15" s="324">
        <f>1-I12/$G$12</f>
        <v>0.3902439024390244</v>
      </c>
      <c r="J15" s="167">
        <f t="shared" ref="J15:K15" si="1">1-J12/$G$12</f>
        <v>0.3597560975609756</v>
      </c>
      <c r="K15" s="167">
        <f t="shared" si="1"/>
        <v>0.23780487804878048</v>
      </c>
    </row>
    <row r="16" spans="2:12">
      <c r="L16" s="37"/>
    </row>
    <row r="18" spans="2:12">
      <c r="B18" s="168" t="s">
        <v>211</v>
      </c>
    </row>
    <row r="19" spans="2:12" s="17" customFormat="1" ht="10.5" customHeight="1">
      <c r="B19" s="546" t="s">
        <v>1</v>
      </c>
      <c r="C19" s="546"/>
      <c r="D19" s="547"/>
      <c r="E19" s="548"/>
      <c r="F19" s="549"/>
      <c r="G19" s="553" t="s">
        <v>186</v>
      </c>
      <c r="H19" s="554" t="s">
        <v>187</v>
      </c>
      <c r="I19" s="554"/>
      <c r="J19" s="554"/>
      <c r="K19" s="553" t="s">
        <v>188</v>
      </c>
    </row>
    <row r="20" spans="2:12" s="37" customFormat="1" ht="33.4" customHeight="1">
      <c r="B20" s="546"/>
      <c r="C20" s="546"/>
      <c r="D20" s="550"/>
      <c r="E20" s="551"/>
      <c r="F20" s="552"/>
      <c r="G20" s="553"/>
      <c r="H20" s="151" t="s">
        <v>189</v>
      </c>
      <c r="I20" s="165" t="s">
        <v>190</v>
      </c>
      <c r="J20" s="151" t="s">
        <v>191</v>
      </c>
      <c r="K20" s="553"/>
    </row>
    <row r="21" spans="2:12" s="37" customFormat="1" ht="15" customHeight="1">
      <c r="B21" s="543" t="s">
        <v>207</v>
      </c>
      <c r="C21" s="163"/>
      <c r="D21" s="163"/>
      <c r="E21" s="163"/>
      <c r="F21" s="163"/>
      <c r="G21" s="164">
        <f>I21*(G22)</f>
        <v>165</v>
      </c>
      <c r="H21" s="164">
        <f>I21*(1+H22)</f>
        <v>95</v>
      </c>
      <c r="I21" s="164">
        <v>100</v>
      </c>
      <c r="J21" s="164">
        <f>I21*(1+J22)</f>
        <v>105</v>
      </c>
      <c r="K21" s="164">
        <f>I21*(1+K22)</f>
        <v>120</v>
      </c>
    </row>
    <row r="22" spans="2:12">
      <c r="B22" s="544"/>
      <c r="C22" s="160"/>
      <c r="D22" s="160"/>
      <c r="E22" s="160"/>
      <c r="F22" s="160"/>
      <c r="G22" s="244">
        <v>1.65</v>
      </c>
      <c r="H22" s="163">
        <v>-0.05</v>
      </c>
      <c r="I22" s="163" t="s">
        <v>206</v>
      </c>
      <c r="J22" s="162">
        <v>0.05</v>
      </c>
      <c r="K22" s="243">
        <v>0.2</v>
      </c>
    </row>
    <row r="23" spans="2:12">
      <c r="B23" s="544"/>
      <c r="C23" s="160"/>
      <c r="D23" s="160"/>
      <c r="E23" s="160"/>
      <c r="F23" s="161" t="s">
        <v>4</v>
      </c>
      <c r="G23" s="161"/>
      <c r="H23" s="166">
        <f>$G$21/H21-1</f>
        <v>0.73684210526315796</v>
      </c>
      <c r="I23" s="187">
        <f>$G$21/I21-1</f>
        <v>0.64999999999999991</v>
      </c>
      <c r="J23" s="166">
        <f>$G$21/J21-1</f>
        <v>0.5714285714285714</v>
      </c>
      <c r="K23" s="166">
        <f>$G$21/K21-1</f>
        <v>0.375</v>
      </c>
    </row>
    <row r="24" spans="2:12">
      <c r="B24" s="545"/>
      <c r="C24" s="160"/>
      <c r="D24" s="160"/>
      <c r="E24" s="160"/>
      <c r="F24" s="161" t="s">
        <v>5</v>
      </c>
      <c r="G24" s="161"/>
      <c r="H24" s="167">
        <f>1-H21/$G$21</f>
        <v>0.4242424242424242</v>
      </c>
      <c r="I24" s="188">
        <f>1-I21/$G$21</f>
        <v>0.39393939393939392</v>
      </c>
      <c r="J24" s="167">
        <f>1-J21/$G$21</f>
        <v>0.36363636363636365</v>
      </c>
      <c r="K24" s="167">
        <f>1-K21/$G$21</f>
        <v>0.27272727272727271</v>
      </c>
    </row>
    <row r="25" spans="2:12">
      <c r="L25" s="37"/>
    </row>
    <row r="27" spans="2:12">
      <c r="B27" s="168" t="s">
        <v>208</v>
      </c>
    </row>
    <row r="28" spans="2:12" s="17" customFormat="1" ht="10.5" customHeight="1">
      <c r="B28" s="546" t="s">
        <v>1</v>
      </c>
      <c r="C28" s="546"/>
      <c r="D28" s="547"/>
      <c r="E28" s="548"/>
      <c r="F28" s="549"/>
      <c r="G28" s="553" t="s">
        <v>186</v>
      </c>
      <c r="H28" s="554" t="s">
        <v>187</v>
      </c>
      <c r="I28" s="554"/>
      <c r="J28" s="554"/>
      <c r="K28" s="553" t="s">
        <v>188</v>
      </c>
    </row>
    <row r="29" spans="2:12" s="37" customFormat="1" ht="33.4" customHeight="1">
      <c r="B29" s="546"/>
      <c r="C29" s="546"/>
      <c r="D29" s="550"/>
      <c r="E29" s="551"/>
      <c r="F29" s="552"/>
      <c r="G29" s="553"/>
      <c r="H29" s="151" t="s">
        <v>189</v>
      </c>
      <c r="I29" s="165" t="s">
        <v>190</v>
      </c>
      <c r="J29" s="151" t="s">
        <v>191</v>
      </c>
      <c r="K29" s="553"/>
    </row>
    <row r="30" spans="2:12" s="37" customFormat="1" ht="15" customHeight="1">
      <c r="B30" s="543" t="s">
        <v>208</v>
      </c>
      <c r="C30" s="163"/>
      <c r="D30" s="163"/>
      <c r="E30" s="163"/>
      <c r="F30" s="163"/>
      <c r="G30" s="164">
        <f>I30*(G31)</f>
        <v>137</v>
      </c>
      <c r="H30" s="164">
        <f>I30*(1+H31)</f>
        <v>100</v>
      </c>
      <c r="I30" s="164">
        <v>100</v>
      </c>
      <c r="J30" s="164">
        <f>I30*(1+J31)</f>
        <v>104</v>
      </c>
      <c r="K30" s="164">
        <f>I30*(1+K31)</f>
        <v>114.99999999999999</v>
      </c>
    </row>
    <row r="31" spans="2:12">
      <c r="B31" s="544"/>
      <c r="C31" s="160"/>
      <c r="D31" s="160"/>
      <c r="E31" s="160"/>
      <c r="F31" s="160"/>
      <c r="G31" s="244">
        <v>1.37</v>
      </c>
      <c r="H31" s="163">
        <v>0</v>
      </c>
      <c r="I31" s="163" t="s">
        <v>206</v>
      </c>
      <c r="J31" s="162">
        <v>0.04</v>
      </c>
      <c r="K31" s="243">
        <v>0.15</v>
      </c>
    </row>
    <row r="32" spans="2:12">
      <c r="B32" s="544"/>
      <c r="C32" s="160"/>
      <c r="D32" s="160"/>
      <c r="E32" s="160"/>
      <c r="F32" s="161" t="s">
        <v>4</v>
      </c>
      <c r="G32" s="161"/>
      <c r="H32" s="166">
        <f>$G$30/H30-1</f>
        <v>0.37000000000000011</v>
      </c>
      <c r="I32" s="187">
        <f>$G$30/I30-1</f>
        <v>0.37000000000000011</v>
      </c>
      <c r="J32" s="166">
        <f>$G$30/J30-1</f>
        <v>0.31730769230769229</v>
      </c>
      <c r="K32" s="166">
        <f>$G$30/K30-1</f>
        <v>0.19130434782608718</v>
      </c>
    </row>
    <row r="33" spans="2:11">
      <c r="B33" s="545"/>
      <c r="C33" s="160"/>
      <c r="D33" s="160"/>
      <c r="E33" s="160"/>
      <c r="F33" s="161" t="s">
        <v>5</v>
      </c>
      <c r="G33" s="161"/>
      <c r="H33" s="167">
        <f>1-H30/$G$30</f>
        <v>0.27007299270072993</v>
      </c>
      <c r="I33" s="188">
        <f>1-I30/$G$30</f>
        <v>0.27007299270072993</v>
      </c>
      <c r="J33" s="167">
        <f>1-J30/$G$30</f>
        <v>0.24087591240875916</v>
      </c>
      <c r="K33" s="167">
        <f>1-K30/$G$30</f>
        <v>0.16058394160583955</v>
      </c>
    </row>
  </sheetData>
  <sheetProtection password="E910" sheet="1" objects="1" scenarios="1"/>
  <mergeCells count="21">
    <mergeCell ref="H28:J28"/>
    <mergeCell ref="K19:K20"/>
    <mergeCell ref="K28:K29"/>
    <mergeCell ref="B21:B24"/>
    <mergeCell ref="H10:J10"/>
    <mergeCell ref="K10:K11"/>
    <mergeCell ref="D10:F11"/>
    <mergeCell ref="B12:B15"/>
    <mergeCell ref="D19:F20"/>
    <mergeCell ref="B10:B11"/>
    <mergeCell ref="C10:C11"/>
    <mergeCell ref="B19:B20"/>
    <mergeCell ref="C19:C20"/>
    <mergeCell ref="G10:G11"/>
    <mergeCell ref="G19:G20"/>
    <mergeCell ref="H19:J19"/>
    <mergeCell ref="B30:B33"/>
    <mergeCell ref="B28:B29"/>
    <mergeCell ref="C28:C29"/>
    <mergeCell ref="D28:F29"/>
    <mergeCell ref="G28:G2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B2:V47"/>
  <sheetViews>
    <sheetView view="pageBreakPreview" zoomScale="140" zoomScaleSheetLayoutView="140" workbookViewId="0">
      <selection activeCell="K6" sqref="K6"/>
    </sheetView>
  </sheetViews>
  <sheetFormatPr defaultColWidth="12.42578125" defaultRowHeight="11.25" outlineLevelCol="1"/>
  <cols>
    <col min="1" max="1" width="2.42578125" style="17" customWidth="1"/>
    <col min="2" max="2" width="3.28515625" style="17" customWidth="1"/>
    <col min="3" max="3" width="15.140625" style="17" customWidth="1"/>
    <col min="4" max="4" width="13.42578125" style="17" customWidth="1"/>
    <col min="5" max="5" width="15.42578125" style="17" customWidth="1"/>
    <col min="6" max="7" width="8.28515625" style="291" hidden="1" customWidth="1"/>
    <col min="8" max="8" width="9.140625" style="350" hidden="1" customWidth="1" outlineLevel="1"/>
    <col min="9" max="9" width="9.5703125" style="17" hidden="1" customWidth="1" outlineLevel="1"/>
    <col min="10" max="10" width="9.5703125" style="53" customWidth="1" collapsed="1"/>
    <col min="11" max="11" width="9.5703125" style="17" customWidth="1"/>
    <col min="12" max="12" width="12.42578125" style="76" customWidth="1"/>
    <col min="13" max="16384" width="12.42578125" style="17"/>
  </cols>
  <sheetData>
    <row r="2" spans="3:13">
      <c r="D2" s="30"/>
      <c r="E2" s="31"/>
      <c r="F2" s="287"/>
      <c r="G2" s="287"/>
      <c r="H2" s="345"/>
      <c r="I2" s="30"/>
      <c r="J2" s="32"/>
      <c r="K2" s="30"/>
    </row>
    <row r="3" spans="3:13" ht="12">
      <c r="D3" s="30"/>
      <c r="E3" s="33"/>
      <c r="F3" s="288"/>
      <c r="G3" s="288"/>
      <c r="H3" s="346"/>
      <c r="I3" s="34"/>
      <c r="J3" s="35"/>
      <c r="K3" s="34"/>
    </row>
    <row r="4" spans="3:13" ht="12.75" customHeight="1">
      <c r="D4" s="30"/>
      <c r="E4" s="555"/>
      <c r="F4" s="555"/>
      <c r="G4" s="555"/>
      <c r="H4" s="555"/>
      <c r="I4" s="555"/>
      <c r="J4" s="555"/>
      <c r="K4" s="555"/>
    </row>
    <row r="5" spans="3:13" ht="12.75" customHeight="1">
      <c r="D5" s="556"/>
      <c r="E5" s="556"/>
      <c r="F5" s="556"/>
      <c r="G5" s="556"/>
      <c r="H5" s="556"/>
      <c r="I5" s="556"/>
      <c r="J5" s="556"/>
      <c r="K5" s="556"/>
    </row>
    <row r="6" spans="3:13" ht="20.25">
      <c r="C6" s="7" t="s">
        <v>0</v>
      </c>
      <c r="E6" s="519"/>
      <c r="F6" s="519"/>
      <c r="G6" s="519"/>
      <c r="H6" s="519"/>
      <c r="I6" s="519"/>
      <c r="J6" s="519"/>
      <c r="K6" s="485">
        <f>Содержание!D1</f>
        <v>44697</v>
      </c>
    </row>
    <row r="7" spans="3:13" s="37" customFormat="1" ht="33.4" customHeight="1">
      <c r="C7" s="546" t="s">
        <v>1</v>
      </c>
      <c r="D7" s="546" t="s">
        <v>2</v>
      </c>
      <c r="E7" s="546" t="s">
        <v>3</v>
      </c>
      <c r="F7" s="569"/>
      <c r="G7" s="569"/>
      <c r="H7" s="553" t="s">
        <v>186</v>
      </c>
      <c r="I7" s="554" t="s">
        <v>187</v>
      </c>
      <c r="J7" s="554"/>
      <c r="K7" s="554"/>
      <c r="L7" s="77"/>
    </row>
    <row r="8" spans="3:13" s="37" customFormat="1" ht="33.4" customHeight="1" thickBot="1">
      <c r="C8" s="546"/>
      <c r="D8" s="546"/>
      <c r="E8" s="546"/>
      <c r="F8" s="313" t="s">
        <v>259</v>
      </c>
      <c r="G8" s="313" t="s">
        <v>260</v>
      </c>
      <c r="H8" s="553"/>
      <c r="I8" s="176" t="s">
        <v>189</v>
      </c>
      <c r="J8" s="177" t="s">
        <v>190</v>
      </c>
      <c r="K8" s="176" t="s">
        <v>191</v>
      </c>
      <c r="L8" s="77"/>
    </row>
    <row r="9" spans="3:13" s="293" customFormat="1" ht="132" customHeight="1" thickBot="1">
      <c r="C9" s="312" t="s">
        <v>12</v>
      </c>
      <c r="D9" s="159" t="s">
        <v>13</v>
      </c>
      <c r="E9" s="44" t="s">
        <v>11</v>
      </c>
      <c r="F9" s="314">
        <f>CEILING(14150*(1+'!!!НАЦЕНКИ'!$B$3), 50)</f>
        <v>15600</v>
      </c>
      <c r="G9" s="314">
        <f>CEILING(F9*(1-39%), 50)</f>
        <v>9550</v>
      </c>
      <c r="H9" s="347">
        <f>CEILING(J9*Наценки!$G$13, 50)</f>
        <v>14900</v>
      </c>
      <c r="I9" s="45">
        <f>CEILING(J9*(1+Наценки!$H$13), 50)</f>
        <v>8650</v>
      </c>
      <c r="J9" s="46">
        <f>CEILING(G9*0.95, 10)</f>
        <v>9080</v>
      </c>
      <c r="K9" s="45">
        <f>CEILING(J9*(1+Наценки!$J$13), 50)</f>
        <v>9550</v>
      </c>
      <c r="L9" s="292"/>
      <c r="M9" s="286"/>
    </row>
    <row r="10" spans="3:13" ht="132" customHeight="1" thickBot="1">
      <c r="C10" s="220" t="s">
        <v>14</v>
      </c>
      <c r="D10" s="159" t="s">
        <v>15</v>
      </c>
      <c r="E10" s="44" t="s">
        <v>11</v>
      </c>
      <c r="F10" s="314">
        <f>CEILING(16150*(1+'!!!НАЦЕНКИ'!$B$3), 50)</f>
        <v>17800</v>
      </c>
      <c r="G10" s="314">
        <f>CEILING(F10*(1-39%), 10)</f>
        <v>10860</v>
      </c>
      <c r="H10" s="347">
        <f>FLOOR(J10*Наценки!$G$13, 50)</f>
        <v>17800</v>
      </c>
      <c r="I10" s="45">
        <f>CEILING(J10*(1+Наценки!$H$13), 50)</f>
        <v>10350</v>
      </c>
      <c r="J10" s="46">
        <f>CEILING(G10*1, 10)</f>
        <v>10860</v>
      </c>
      <c r="K10" s="45">
        <f>CEILING(J10*(1+Наценки!$J$13), 50)</f>
        <v>11450</v>
      </c>
      <c r="M10" s="286"/>
    </row>
    <row r="11" spans="3:13" ht="132" customHeight="1" thickBot="1">
      <c r="C11" s="220" t="s">
        <v>16</v>
      </c>
      <c r="D11" s="159" t="s">
        <v>17</v>
      </c>
      <c r="E11" s="44" t="s">
        <v>11</v>
      </c>
      <c r="F11" s="314">
        <f>CEILING(20300*(1+'!!!НАЦЕНКИ'!$B$3), 50)</f>
        <v>22350</v>
      </c>
      <c r="G11" s="314">
        <f t="shared" ref="G11:G12" si="0">CEILING(F11*(1-39%), 10)</f>
        <v>13640</v>
      </c>
      <c r="H11" s="347">
        <f>FLOOR(J11*Наценки!$G$13, 50)</f>
        <v>22350</v>
      </c>
      <c r="I11" s="45">
        <f>CEILING(J11*(1+Наценки!$H$13), 50)</f>
        <v>13000</v>
      </c>
      <c r="J11" s="46">
        <f t="shared" ref="J11:J12" si="1">CEILING(G11*1, 10)</f>
        <v>13640</v>
      </c>
      <c r="K11" s="45">
        <f>CEILING(J11*(1+Наценки!$J$13), 50)</f>
        <v>14350</v>
      </c>
      <c r="M11" s="286"/>
    </row>
    <row r="12" spans="3:13" ht="132" customHeight="1" thickBot="1">
      <c r="C12" s="175" t="s">
        <v>18</v>
      </c>
      <c r="D12" s="179" t="s">
        <v>19</v>
      </c>
      <c r="E12" s="178" t="s">
        <v>11</v>
      </c>
      <c r="F12" s="314">
        <f>CEILING(22400*(1+'!!!НАЦЕНКИ'!$B$3), 50)</f>
        <v>24650</v>
      </c>
      <c r="G12" s="314">
        <f t="shared" si="0"/>
        <v>15040</v>
      </c>
      <c r="H12" s="347">
        <f>FLOOR(J12*Наценки!$G$13, 50)</f>
        <v>24650</v>
      </c>
      <c r="I12" s="45">
        <f>CEILING(J12*(1+Наценки!$H$13), 50)</f>
        <v>14300</v>
      </c>
      <c r="J12" s="46">
        <f t="shared" si="1"/>
        <v>15040</v>
      </c>
      <c r="K12" s="45">
        <f>CEILING(J12*(1+Наценки!$J$13), 50)</f>
        <v>15800</v>
      </c>
      <c r="M12" s="286"/>
    </row>
    <row r="13" spans="3:13" s="47" customFormat="1" ht="12">
      <c r="F13" s="289"/>
      <c r="G13" s="289"/>
      <c r="H13" s="348"/>
      <c r="J13" s="48"/>
      <c r="L13" s="78"/>
      <c r="M13" s="286"/>
    </row>
    <row r="14" spans="3:13" s="47" customFormat="1" ht="12.75">
      <c r="C14" s="49" t="s">
        <v>20</v>
      </c>
      <c r="D14" s="50"/>
      <c r="E14" s="50"/>
      <c r="F14" s="290"/>
      <c r="G14" s="290"/>
      <c r="H14" s="349"/>
      <c r="I14" s="51"/>
      <c r="J14" s="52"/>
      <c r="K14" s="51"/>
      <c r="L14" s="78"/>
      <c r="M14" s="286"/>
    </row>
    <row r="15" spans="3:13" s="47" customFormat="1" ht="12.75">
      <c r="C15" s="49"/>
      <c r="D15" s="50"/>
      <c r="E15" s="50"/>
      <c r="F15" s="290"/>
      <c r="G15" s="290"/>
      <c r="H15" s="349"/>
      <c r="I15" s="51"/>
      <c r="J15" s="52"/>
      <c r="K15" s="51"/>
      <c r="L15" s="78"/>
      <c r="M15" s="286"/>
    </row>
    <row r="16" spans="3:13">
      <c r="M16" s="286"/>
    </row>
    <row r="17" spans="2:22" ht="11.25" customHeight="1">
      <c r="M17" s="286"/>
    </row>
    <row r="18" spans="2:22" ht="11.25" customHeight="1">
      <c r="C18" s="559" t="s">
        <v>1</v>
      </c>
      <c r="D18" s="559" t="s">
        <v>115</v>
      </c>
      <c r="E18" s="559" t="s">
        <v>283</v>
      </c>
      <c r="F18" s="569"/>
      <c r="G18" s="569"/>
      <c r="H18" s="557" t="s">
        <v>186</v>
      </c>
      <c r="I18" s="558" t="s">
        <v>187</v>
      </c>
      <c r="J18" s="558"/>
      <c r="K18" s="558"/>
      <c r="M18" s="286"/>
    </row>
    <row r="19" spans="2:22" ht="12">
      <c r="C19" s="559"/>
      <c r="D19" s="559"/>
      <c r="E19" s="559"/>
      <c r="F19" s="313" t="s">
        <v>259</v>
      </c>
      <c r="G19" s="313" t="s">
        <v>260</v>
      </c>
      <c r="H19" s="557"/>
      <c r="I19" s="316" t="s">
        <v>189</v>
      </c>
      <c r="J19" s="317" t="s">
        <v>190</v>
      </c>
      <c r="K19" s="316" t="s">
        <v>191</v>
      </c>
      <c r="M19" s="286"/>
    </row>
    <row r="20" spans="2:22" ht="24.95" customHeight="1">
      <c r="B20" s="573" t="s">
        <v>293</v>
      </c>
      <c r="C20" s="572"/>
      <c r="D20" s="561" t="s">
        <v>252</v>
      </c>
      <c r="E20" s="307" t="s">
        <v>119</v>
      </c>
      <c r="F20" s="299">
        <f>CEILING(3950*(1+'!!!НАЦЕНКИ'!$B$6), 10)</f>
        <v>4350</v>
      </c>
      <c r="G20" s="315">
        <f>'Серия E'!F20*(1-39%)</f>
        <v>2653.5</v>
      </c>
      <c r="H20" s="351">
        <f>FLOOR(J20*Наценки!$G$13, 5)</f>
        <v>4350</v>
      </c>
      <c r="I20" s="298">
        <f>CEILING(J20*(1+Наценки!$H$13), 10)</f>
        <v>2530</v>
      </c>
      <c r="J20" s="320">
        <f>CEILING(G20, 5)</f>
        <v>2655</v>
      </c>
      <c r="K20" s="298">
        <f>CEILING(J20*(1+Наценки!$J$13), 10)</f>
        <v>2790</v>
      </c>
      <c r="M20" s="286"/>
    </row>
    <row r="21" spans="2:22" ht="24.95" customHeight="1">
      <c r="B21" s="564"/>
      <c r="C21" s="568"/>
      <c r="D21" s="562"/>
      <c r="E21" s="318" t="s">
        <v>120</v>
      </c>
      <c r="F21" s="300">
        <f>F20+950</f>
        <v>5300</v>
      </c>
      <c r="G21" s="300">
        <f>'Серия E'!F21*(1-39%)</f>
        <v>3233</v>
      </c>
      <c r="H21" s="352">
        <f>FLOOR(J21*Наценки!$G$13, 5)</f>
        <v>5305</v>
      </c>
      <c r="I21" s="305">
        <f>CEILING(J21*(1+Наценки!$H$13), 10)</f>
        <v>3080</v>
      </c>
      <c r="J21" s="321">
        <f t="shared" ref="J21:J46" si="2">CEILING(G21, 5)</f>
        <v>3235</v>
      </c>
      <c r="K21" s="305">
        <f>CEILING(J21*(1+Наценки!$J$13), 10)</f>
        <v>3400</v>
      </c>
      <c r="M21" s="286"/>
    </row>
    <row r="22" spans="2:22" ht="24.95" customHeight="1" thickBot="1">
      <c r="B22" s="565"/>
      <c r="C22" s="570"/>
      <c r="D22" s="560" t="s">
        <v>255</v>
      </c>
      <c r="E22" s="560"/>
      <c r="F22" s="332">
        <v>650</v>
      </c>
      <c r="G22" s="332">
        <f>'Серия E'!F22*(1-39%)</f>
        <v>396.5</v>
      </c>
      <c r="H22" s="353">
        <f>FLOOR(J22*Наценки!$G$13, 5)</f>
        <v>655</v>
      </c>
      <c r="I22" s="333">
        <f>CEILING(J22*(1+Наценки!$H$13), 10)</f>
        <v>380</v>
      </c>
      <c r="J22" s="334">
        <f t="shared" si="2"/>
        <v>400</v>
      </c>
      <c r="K22" s="335">
        <f>CEILING(J22*(1+Наценки!$J$13), 10)</f>
        <v>420</v>
      </c>
      <c r="M22" s="286"/>
    </row>
    <row r="23" spans="2:22" ht="24.95" customHeight="1" thickTop="1">
      <c r="B23" s="563" t="s">
        <v>284</v>
      </c>
      <c r="C23" s="571"/>
      <c r="D23" s="579" t="s">
        <v>252</v>
      </c>
      <c r="E23" s="336" t="s">
        <v>119</v>
      </c>
      <c r="F23" s="337">
        <f>CEILING(F20*0.7, 50)</f>
        <v>3050</v>
      </c>
      <c r="G23" s="337">
        <f>'Серия E'!F23*(1-39%)</f>
        <v>1860.5</v>
      </c>
      <c r="H23" s="354">
        <f>FLOOR(J23*Наценки!$G$13, 5)</f>
        <v>3055</v>
      </c>
      <c r="I23" s="338">
        <f>CEILING(J23*(1+Наценки!$H$13), 10)</f>
        <v>1780</v>
      </c>
      <c r="J23" s="339">
        <f t="shared" si="2"/>
        <v>1865</v>
      </c>
      <c r="K23" s="338">
        <f>CEILING(J23*(1+Наценки!$J$13), 10)</f>
        <v>1960</v>
      </c>
      <c r="M23" s="286"/>
    </row>
    <row r="24" spans="2:22" ht="24.95" customHeight="1">
      <c r="B24" s="564"/>
      <c r="C24" s="568"/>
      <c r="D24" s="578"/>
      <c r="E24" s="319" t="s">
        <v>120</v>
      </c>
      <c r="F24" s="299">
        <f>F23+650</f>
        <v>3700</v>
      </c>
      <c r="G24" s="299">
        <f>'Серия E'!F24*(1-39%)</f>
        <v>2257</v>
      </c>
      <c r="H24" s="351">
        <f>FLOOR(J24*Наценки!$G$13, 5)</f>
        <v>3705</v>
      </c>
      <c r="I24" s="298">
        <f>CEILING(J24*(1+Наценки!$H$13), 10)</f>
        <v>2150</v>
      </c>
      <c r="J24" s="320">
        <f t="shared" si="2"/>
        <v>2260</v>
      </c>
      <c r="K24" s="298">
        <f>CEILING(J24*(1+Наценки!$J$13), 10)</f>
        <v>2380</v>
      </c>
      <c r="M24" s="286"/>
    </row>
    <row r="25" spans="2:22" ht="24.95" customHeight="1" thickBot="1">
      <c r="B25" s="565"/>
      <c r="C25" s="570"/>
      <c r="D25" s="580" t="s">
        <v>255</v>
      </c>
      <c r="E25" s="580"/>
      <c r="F25" s="328">
        <v>500</v>
      </c>
      <c r="G25" s="328">
        <f>'Серия E'!F25*(1-39%)</f>
        <v>305</v>
      </c>
      <c r="H25" s="355">
        <f>FLOOR(J25*Наценки!$G$13, 5)</f>
        <v>500</v>
      </c>
      <c r="I25" s="329">
        <f>CEILING(J25*(1+Наценки!$H$13), 10)</f>
        <v>290</v>
      </c>
      <c r="J25" s="330">
        <f t="shared" si="2"/>
        <v>305</v>
      </c>
      <c r="K25" s="331">
        <f>CEILING(J25*(1+Наценки!$J$13), 10)</f>
        <v>330</v>
      </c>
      <c r="M25" s="286"/>
    </row>
    <row r="26" spans="2:22" ht="24.95" customHeight="1" thickTop="1">
      <c r="B26" s="563" t="s">
        <v>289</v>
      </c>
      <c r="C26" s="571"/>
      <c r="D26" s="579" t="s">
        <v>252</v>
      </c>
      <c r="E26" s="340" t="s">
        <v>119</v>
      </c>
      <c r="F26" s="341">
        <f>F23-F29</f>
        <v>1950</v>
      </c>
      <c r="G26" s="342">
        <f>'Серия E'!F26*(1-39%)</f>
        <v>1189.5</v>
      </c>
      <c r="H26" s="356">
        <f>FLOOR(J26*Наценки!$G$13, 5)</f>
        <v>1950</v>
      </c>
      <c r="I26" s="343">
        <f>CEILING(J26*(1+Наценки!$H$13), 10)</f>
        <v>1140</v>
      </c>
      <c r="J26" s="344">
        <f t="shared" si="2"/>
        <v>1190</v>
      </c>
      <c r="K26" s="343">
        <f>CEILING(J26*(1+Наценки!$J$13), 10)</f>
        <v>1250</v>
      </c>
      <c r="M26" s="286"/>
    </row>
    <row r="27" spans="2:22" ht="24.95" customHeight="1">
      <c r="B27" s="564"/>
      <c r="C27" s="568"/>
      <c r="D27" s="562"/>
      <c r="E27" s="318" t="s">
        <v>120</v>
      </c>
      <c r="F27" s="300">
        <f>F26+450</f>
        <v>2400</v>
      </c>
      <c r="G27" s="300">
        <f>'Серия E'!F27*(1-39%)</f>
        <v>1464</v>
      </c>
      <c r="H27" s="352">
        <f>FLOOR(J27*Наценки!$G$13, 5)</f>
        <v>2400</v>
      </c>
      <c r="I27" s="305">
        <f>CEILING(J27*(1+Наценки!$H$13), 10)</f>
        <v>1400</v>
      </c>
      <c r="J27" s="321">
        <f t="shared" si="2"/>
        <v>1465</v>
      </c>
      <c r="K27" s="305">
        <f>CEILING(J27*(1+Наценки!$J$13), 10)</f>
        <v>1540</v>
      </c>
      <c r="M27" s="286"/>
      <c r="V27" s="17" t="s">
        <v>292</v>
      </c>
    </row>
    <row r="28" spans="2:22" ht="24.95" customHeight="1" thickBot="1">
      <c r="B28" s="565"/>
      <c r="C28" s="570"/>
      <c r="D28" s="560" t="s">
        <v>255</v>
      </c>
      <c r="E28" s="560"/>
      <c r="F28" s="332">
        <v>400</v>
      </c>
      <c r="G28" s="332">
        <f>'Серия E'!F28*(1-39%)</f>
        <v>244</v>
      </c>
      <c r="H28" s="353">
        <f>FLOOR(J28*Наценки!$G$13, 5)</f>
        <v>400</v>
      </c>
      <c r="I28" s="333">
        <f>CEILING(J28*(1+Наценки!$H$13), 10)</f>
        <v>240</v>
      </c>
      <c r="J28" s="334">
        <f t="shared" si="2"/>
        <v>245</v>
      </c>
      <c r="K28" s="335">
        <f>CEILING(J28*(1+Наценки!$J$13), 10)</f>
        <v>260</v>
      </c>
      <c r="M28" s="286"/>
    </row>
    <row r="29" spans="2:22" ht="24.95" customHeight="1" thickTop="1">
      <c r="B29" s="563" t="s">
        <v>290</v>
      </c>
      <c r="C29" s="571"/>
      <c r="D29" s="579" t="s">
        <v>252</v>
      </c>
      <c r="E29" s="336" t="s">
        <v>119</v>
      </c>
      <c r="F29" s="337">
        <v>1100</v>
      </c>
      <c r="G29" s="337">
        <f>'Серия E'!F29*(1-39%)</f>
        <v>671</v>
      </c>
      <c r="H29" s="354">
        <f>FLOOR(J29*Наценки!$G$13, 5)</f>
        <v>1105</v>
      </c>
      <c r="I29" s="338">
        <f>CEILING(J29*(1+Наценки!$H$13), 10)</f>
        <v>650</v>
      </c>
      <c r="J29" s="339">
        <f t="shared" si="2"/>
        <v>675</v>
      </c>
      <c r="K29" s="338">
        <f>CEILING(J29*(1+Наценки!$J$13), 10)</f>
        <v>710</v>
      </c>
      <c r="M29" s="286"/>
    </row>
    <row r="30" spans="2:22" ht="24.95" customHeight="1">
      <c r="B30" s="564"/>
      <c r="C30" s="568"/>
      <c r="D30" s="578"/>
      <c r="E30" s="319" t="s">
        <v>120</v>
      </c>
      <c r="F30" s="299">
        <f>F29+200</f>
        <v>1300</v>
      </c>
      <c r="G30" s="299">
        <f>'Серия E'!F30*(1-39%)</f>
        <v>793</v>
      </c>
      <c r="H30" s="351">
        <f>FLOOR(J30*Наценки!$G$13, 5)</f>
        <v>1300</v>
      </c>
      <c r="I30" s="298">
        <f>CEILING(J30*(1+Наценки!$H$13), 10)</f>
        <v>760</v>
      </c>
      <c r="J30" s="320">
        <f t="shared" si="2"/>
        <v>795</v>
      </c>
      <c r="K30" s="298">
        <f>CEILING(J30*(1+Наценки!$J$13), 10)</f>
        <v>840</v>
      </c>
      <c r="M30" s="286"/>
    </row>
    <row r="31" spans="2:22" ht="24.95" customHeight="1" thickBot="1">
      <c r="B31" s="566"/>
      <c r="C31" s="576"/>
      <c r="D31" s="577" t="s">
        <v>255</v>
      </c>
      <c r="E31" s="577"/>
      <c r="F31" s="302">
        <v>200</v>
      </c>
      <c r="G31" s="302">
        <f>'Серия E'!F31*(1-39%)</f>
        <v>122</v>
      </c>
      <c r="H31" s="357">
        <f>FLOOR(J31*Наценки!$G$13, 5)</f>
        <v>205</v>
      </c>
      <c r="I31" s="308">
        <f>CEILING(J31*(1+Наценки!$H$13), 10)</f>
        <v>120</v>
      </c>
      <c r="J31" s="327">
        <f t="shared" si="2"/>
        <v>125</v>
      </c>
      <c r="K31" s="309">
        <f>CEILING(J31*(1+Наценки!$J$13), 10)</f>
        <v>140</v>
      </c>
      <c r="M31" s="286"/>
    </row>
    <row r="32" spans="2:22" ht="24.95" customHeight="1">
      <c r="B32" s="574" t="s">
        <v>285</v>
      </c>
      <c r="C32" s="567"/>
      <c r="D32" s="578" t="s">
        <v>253</v>
      </c>
      <c r="E32" s="306" t="s">
        <v>119</v>
      </c>
      <c r="F32" s="303">
        <f>CEILING(F20*1.3, 50)</f>
        <v>5700</v>
      </c>
      <c r="G32" s="325">
        <f>'Серия E'!F32*(1-39%)</f>
        <v>3477</v>
      </c>
      <c r="H32" s="358">
        <f>FLOOR(J32*Наценки!$G$13, 5)</f>
        <v>5705</v>
      </c>
      <c r="I32" s="304">
        <f>CEILING(J32*(1+Наценки!$H$13), 10)</f>
        <v>3310</v>
      </c>
      <c r="J32" s="326">
        <f t="shared" si="2"/>
        <v>3480</v>
      </c>
      <c r="K32" s="304">
        <f>CEILING(J32*(1+Наценки!$J$13), 10)</f>
        <v>3660</v>
      </c>
      <c r="M32" s="286"/>
    </row>
    <row r="33" spans="2:13" ht="24.95" customHeight="1">
      <c r="B33" s="564"/>
      <c r="C33" s="568"/>
      <c r="D33" s="562"/>
      <c r="E33" s="318" t="s">
        <v>120</v>
      </c>
      <c r="F33" s="300">
        <f t="shared" ref="F33:F42" si="3">CEILING(F21*1.3, 50)</f>
        <v>6900</v>
      </c>
      <c r="G33" s="300">
        <f>'Серия E'!F33*(1-39%)</f>
        <v>4209</v>
      </c>
      <c r="H33" s="352">
        <f>FLOOR(J33*Наценки!$G$13, 5)</f>
        <v>6900</v>
      </c>
      <c r="I33" s="305">
        <f>CEILING(J33*(1+Наценки!$H$13), 10)</f>
        <v>4000</v>
      </c>
      <c r="J33" s="321">
        <f t="shared" si="2"/>
        <v>4210</v>
      </c>
      <c r="K33" s="305">
        <f>CEILING(J33*(1+Наценки!$J$13), 10)</f>
        <v>4430</v>
      </c>
      <c r="M33" s="286"/>
    </row>
    <row r="34" spans="2:13" ht="24.95" customHeight="1" thickBot="1">
      <c r="B34" s="565"/>
      <c r="C34" s="570"/>
      <c r="D34" s="560" t="s">
        <v>255</v>
      </c>
      <c r="E34" s="560"/>
      <c r="F34" s="332">
        <f>CEILING(F22*1.3, 50)</f>
        <v>850</v>
      </c>
      <c r="G34" s="332">
        <f>'Серия E'!F34*(1-39%)</f>
        <v>518.5</v>
      </c>
      <c r="H34" s="353">
        <f>FLOOR(J34*Наценки!$G$13, 5)</f>
        <v>850</v>
      </c>
      <c r="I34" s="333">
        <f>CEILING(J34*(1+Наценки!$H$13), 10)</f>
        <v>500</v>
      </c>
      <c r="J34" s="334">
        <f t="shared" si="2"/>
        <v>520</v>
      </c>
      <c r="K34" s="335">
        <f>CEILING(J34*(1+Наценки!$J$13), 10)</f>
        <v>550</v>
      </c>
      <c r="M34" s="286"/>
    </row>
    <row r="35" spans="2:13" ht="24.95" customHeight="1" thickTop="1">
      <c r="B35" s="563" t="s">
        <v>286</v>
      </c>
      <c r="C35" s="571"/>
      <c r="D35" s="579" t="s">
        <v>253</v>
      </c>
      <c r="E35" s="336" t="s">
        <v>119</v>
      </c>
      <c r="F35" s="337">
        <f>CEILING(F23*1.3, 50)</f>
        <v>4000</v>
      </c>
      <c r="G35" s="337">
        <f>'Серия E'!F35*(1-39%)</f>
        <v>2440</v>
      </c>
      <c r="H35" s="354">
        <f>FLOOR(J35*Наценки!$G$13, 5)</f>
        <v>4000</v>
      </c>
      <c r="I35" s="338">
        <f>CEILING(J35*(1+Наценки!$H$13), 10)</f>
        <v>2320</v>
      </c>
      <c r="J35" s="339">
        <f t="shared" si="2"/>
        <v>2440</v>
      </c>
      <c r="K35" s="338">
        <f>CEILING(J35*(1+Наценки!$J$13), 10)</f>
        <v>2570</v>
      </c>
      <c r="M35" s="286"/>
    </row>
    <row r="36" spans="2:13" ht="24.95" customHeight="1">
      <c r="B36" s="564"/>
      <c r="C36" s="568"/>
      <c r="D36" s="578"/>
      <c r="E36" s="319" t="s">
        <v>120</v>
      </c>
      <c r="F36" s="299">
        <f t="shared" si="3"/>
        <v>4850</v>
      </c>
      <c r="G36" s="299">
        <f>'Серия E'!F36*(1-39%)</f>
        <v>2958.5</v>
      </c>
      <c r="H36" s="351">
        <f>FLOOR(J36*Наценки!$G$13, 5)</f>
        <v>4850</v>
      </c>
      <c r="I36" s="298">
        <f>CEILING(J36*(1+Наценки!$H$13), 10)</f>
        <v>2820</v>
      </c>
      <c r="J36" s="320">
        <f t="shared" si="2"/>
        <v>2960</v>
      </c>
      <c r="K36" s="298">
        <f>CEILING(J36*(1+Наценки!$J$13), 10)</f>
        <v>3110</v>
      </c>
      <c r="M36" s="286"/>
    </row>
    <row r="37" spans="2:13" ht="24.95" customHeight="1" thickBot="1">
      <c r="B37" s="565"/>
      <c r="C37" s="570"/>
      <c r="D37" s="580" t="s">
        <v>255</v>
      </c>
      <c r="E37" s="580"/>
      <c r="F37" s="328">
        <f>CEILING(F25*1.3, 50)</f>
        <v>650</v>
      </c>
      <c r="G37" s="328">
        <f>'Серия E'!F37*(1-39%)</f>
        <v>396.5</v>
      </c>
      <c r="H37" s="353">
        <f>FLOOR(J37*Наценки!$G$13, 5)</f>
        <v>655</v>
      </c>
      <c r="I37" s="329">
        <f>CEILING(J37*(1+Наценки!$H$13), 10)</f>
        <v>380</v>
      </c>
      <c r="J37" s="330">
        <f t="shared" si="2"/>
        <v>400</v>
      </c>
      <c r="K37" s="331">
        <f>CEILING(J37*(1+Наценки!$J$13), 10)</f>
        <v>420</v>
      </c>
      <c r="M37" s="286"/>
    </row>
    <row r="38" spans="2:13" ht="24.95" customHeight="1" thickTop="1">
      <c r="B38" s="563" t="s">
        <v>288</v>
      </c>
      <c r="C38" s="571"/>
      <c r="D38" s="579" t="s">
        <v>253</v>
      </c>
      <c r="E38" s="340" t="s">
        <v>119</v>
      </c>
      <c r="F38" s="341">
        <f>CEILING(F26*1.3, 50)</f>
        <v>2550</v>
      </c>
      <c r="G38" s="342">
        <f>'Серия E'!F38*(1-39%)</f>
        <v>1555.5</v>
      </c>
      <c r="H38" s="356">
        <f>FLOOR(J38*Наценки!$G$13, 5)</f>
        <v>2555</v>
      </c>
      <c r="I38" s="343">
        <f>CEILING(J38*(1+Наценки!$H$13), 10)</f>
        <v>1490</v>
      </c>
      <c r="J38" s="344">
        <f t="shared" si="2"/>
        <v>1560</v>
      </c>
      <c r="K38" s="343">
        <f>CEILING(J38*(1+Наценки!$J$13), 10)</f>
        <v>1640</v>
      </c>
      <c r="M38" s="286"/>
    </row>
    <row r="39" spans="2:13" ht="24.95" customHeight="1">
      <c r="B39" s="564"/>
      <c r="C39" s="568"/>
      <c r="D39" s="562"/>
      <c r="E39" s="318" t="s">
        <v>120</v>
      </c>
      <c r="F39" s="300">
        <f t="shared" si="3"/>
        <v>3150</v>
      </c>
      <c r="G39" s="300">
        <f>'Серия E'!F39*(1-39%)</f>
        <v>1921.5</v>
      </c>
      <c r="H39" s="352">
        <f>FLOOR(J39*Наценки!$G$13, 5)</f>
        <v>3155</v>
      </c>
      <c r="I39" s="305">
        <f>CEILING(J39*(1+Наценки!$H$13), 10)</f>
        <v>1830</v>
      </c>
      <c r="J39" s="321">
        <f t="shared" si="2"/>
        <v>1925</v>
      </c>
      <c r="K39" s="305">
        <f>CEILING(J39*(1+Наценки!$J$13), 10)</f>
        <v>2030</v>
      </c>
      <c r="M39" s="286"/>
    </row>
    <row r="40" spans="2:13" ht="24.95" customHeight="1" thickBot="1">
      <c r="B40" s="565"/>
      <c r="C40" s="570"/>
      <c r="D40" s="560" t="s">
        <v>255</v>
      </c>
      <c r="E40" s="560"/>
      <c r="F40" s="332">
        <f>CEILING(F28*1.3, 50)</f>
        <v>550</v>
      </c>
      <c r="G40" s="332">
        <f>'Серия E'!F40*(1-39%)</f>
        <v>335.5</v>
      </c>
      <c r="H40" s="353">
        <f>FLOOR(J40*Наценки!$G$13, 5)</f>
        <v>555</v>
      </c>
      <c r="I40" s="333">
        <f>CEILING(J40*(1+Наценки!$H$13), 10)</f>
        <v>330</v>
      </c>
      <c r="J40" s="334">
        <f t="shared" si="2"/>
        <v>340</v>
      </c>
      <c r="K40" s="335">
        <f>CEILING(J40*(1+Наценки!$J$13), 10)</f>
        <v>360</v>
      </c>
      <c r="M40" s="286"/>
    </row>
    <row r="41" spans="2:13" ht="24.95" customHeight="1" thickTop="1">
      <c r="B41" s="563" t="s">
        <v>291</v>
      </c>
      <c r="C41" s="571"/>
      <c r="D41" s="579" t="s">
        <v>253</v>
      </c>
      <c r="E41" s="336" t="s">
        <v>119</v>
      </c>
      <c r="F41" s="337">
        <f>CEILING(F29*1.3, 50)</f>
        <v>1450</v>
      </c>
      <c r="G41" s="337">
        <f>'Серия E'!F41*(1-39%)</f>
        <v>884.5</v>
      </c>
      <c r="H41" s="354">
        <f>FLOOR(J41*Наценки!$G$13, 5)</f>
        <v>1450</v>
      </c>
      <c r="I41" s="338">
        <f>CEILING(J41*(1+Наценки!$H$13), 10)</f>
        <v>850</v>
      </c>
      <c r="J41" s="339">
        <f t="shared" si="2"/>
        <v>885</v>
      </c>
      <c r="K41" s="338">
        <f>CEILING(J41*(1+Наценки!$J$13), 10)</f>
        <v>930</v>
      </c>
      <c r="M41" s="286"/>
    </row>
    <row r="42" spans="2:13" ht="24.95" customHeight="1">
      <c r="B42" s="564"/>
      <c r="C42" s="568"/>
      <c r="D42" s="578"/>
      <c r="E42" s="319" t="s">
        <v>120</v>
      </c>
      <c r="F42" s="299">
        <f t="shared" si="3"/>
        <v>1700</v>
      </c>
      <c r="G42" s="299">
        <f>'Серия E'!F42*(1-39%)</f>
        <v>1037</v>
      </c>
      <c r="H42" s="351">
        <f>FLOOR(J42*Наценки!$G$13, 5)</f>
        <v>1705</v>
      </c>
      <c r="I42" s="298">
        <f>CEILING(J42*(1+Наценки!$H$13), 10)</f>
        <v>990</v>
      </c>
      <c r="J42" s="320">
        <f t="shared" si="2"/>
        <v>1040</v>
      </c>
      <c r="K42" s="298">
        <f>CEILING(J42*(1+Наценки!$J$13), 10)</f>
        <v>1100</v>
      </c>
      <c r="M42" s="286"/>
    </row>
    <row r="43" spans="2:13" ht="24.95" customHeight="1" thickBot="1">
      <c r="B43" s="566"/>
      <c r="C43" s="576"/>
      <c r="D43" s="577" t="s">
        <v>255</v>
      </c>
      <c r="E43" s="577"/>
      <c r="F43" s="302">
        <f>CEILING(F31*1.3, 50)</f>
        <v>300</v>
      </c>
      <c r="G43" s="302">
        <f>'Серия E'!F43*(1-39%)</f>
        <v>183</v>
      </c>
      <c r="H43" s="357">
        <f>FLOOR(J43*Наценки!$G$13, 5)</f>
        <v>300</v>
      </c>
      <c r="I43" s="308">
        <f>CEILING(J43*(1+Наценки!$H$13), 10)</f>
        <v>180</v>
      </c>
      <c r="J43" s="327">
        <f t="shared" si="2"/>
        <v>185</v>
      </c>
      <c r="K43" s="309">
        <f>CEILING(J43*(1+Наценки!$J$13), 10)</f>
        <v>200</v>
      </c>
      <c r="M43" s="286"/>
    </row>
    <row r="44" spans="2:13" ht="24.95" customHeight="1">
      <c r="B44" s="574" t="s">
        <v>287</v>
      </c>
      <c r="C44" s="567"/>
      <c r="D44" s="578" t="s">
        <v>254</v>
      </c>
      <c r="E44" s="306" t="s">
        <v>119</v>
      </c>
      <c r="F44" s="303">
        <v>0</v>
      </c>
      <c r="G44" s="325">
        <f>'Серия E'!F44*(1-39%)</f>
        <v>0</v>
      </c>
      <c r="H44" s="358">
        <f>FLOOR(J44*Наценки!$G$13, 5)</f>
        <v>0</v>
      </c>
      <c r="I44" s="304">
        <f>CEILING(J44*(1+Наценки!$H$13), 10)</f>
        <v>0</v>
      </c>
      <c r="J44" s="326">
        <f t="shared" si="2"/>
        <v>0</v>
      </c>
      <c r="K44" s="304">
        <f>CEILING(J44*(1+Наценки!$J$13), 10)</f>
        <v>0</v>
      </c>
      <c r="M44" s="286"/>
    </row>
    <row r="45" spans="2:13" ht="24.95" customHeight="1">
      <c r="B45" s="564"/>
      <c r="C45" s="568"/>
      <c r="D45" s="562"/>
      <c r="E45" s="318" t="s">
        <v>120</v>
      </c>
      <c r="F45" s="300">
        <f>F33-F32</f>
        <v>1200</v>
      </c>
      <c r="G45" s="300">
        <f>'Серия E'!F45*(1-39%)</f>
        <v>732</v>
      </c>
      <c r="H45" s="352">
        <f>FLOOR(J45*Наценки!$G$13, 5)</f>
        <v>1205</v>
      </c>
      <c r="I45" s="305">
        <f>CEILING(J45*(1+Наценки!$H$13), 10)</f>
        <v>700</v>
      </c>
      <c r="J45" s="321">
        <f t="shared" si="2"/>
        <v>735</v>
      </c>
      <c r="K45" s="305">
        <f>CEILING(J45*(1+Наценки!$J$13), 10)</f>
        <v>780</v>
      </c>
      <c r="M45" s="286"/>
    </row>
    <row r="46" spans="2:13" ht="24.95" customHeight="1">
      <c r="B46" s="564"/>
      <c r="C46" s="568"/>
      <c r="D46" s="575" t="s">
        <v>255</v>
      </c>
      <c r="E46" s="575"/>
      <c r="F46" s="301">
        <f>F34</f>
        <v>850</v>
      </c>
      <c r="G46" s="301">
        <f>'Серия E'!F46*(1-39%)</f>
        <v>518.5</v>
      </c>
      <c r="H46" s="359">
        <f>FLOOR(J46*Наценки!$G$13, 5)</f>
        <v>850</v>
      </c>
      <c r="I46" s="298">
        <f>CEILING(J46*(1+Наценки!$H$13), 10)</f>
        <v>500</v>
      </c>
      <c r="J46" s="322">
        <f t="shared" si="2"/>
        <v>520</v>
      </c>
      <c r="K46" s="297">
        <f>CEILING(J46*(1+Наценки!$J$13), 10)</f>
        <v>550</v>
      </c>
      <c r="M46" s="286"/>
    </row>
    <row r="47" spans="2:13">
      <c r="B47" s="17" t="s">
        <v>304</v>
      </c>
    </row>
  </sheetData>
  <sheetProtection formatCells="0" formatColumns="0" formatRows="0" insertColumns="0" insertRows="0" insertHyperlinks="0" deleteColumns="0" deleteRows="0" sort="0" autoFilter="0" pivotTables="0"/>
  <mergeCells count="50">
    <mergeCell ref="B44:B46"/>
    <mergeCell ref="D31:E31"/>
    <mergeCell ref="D32:D33"/>
    <mergeCell ref="D34:E34"/>
    <mergeCell ref="D35:D36"/>
    <mergeCell ref="D37:E37"/>
    <mergeCell ref="D38:D39"/>
    <mergeCell ref="D40:E40"/>
    <mergeCell ref="D41:D42"/>
    <mergeCell ref="D43:E43"/>
    <mergeCell ref="D44:D45"/>
    <mergeCell ref="D46:E46"/>
    <mergeCell ref="C38:C40"/>
    <mergeCell ref="C26:C28"/>
    <mergeCell ref="C29:C31"/>
    <mergeCell ref="C41:C43"/>
    <mergeCell ref="D26:D27"/>
    <mergeCell ref="D28:E28"/>
    <mergeCell ref="D29:D30"/>
    <mergeCell ref="B41:B43"/>
    <mergeCell ref="C44:C46"/>
    <mergeCell ref="F7:G7"/>
    <mergeCell ref="F18:G18"/>
    <mergeCell ref="C32:C34"/>
    <mergeCell ref="C35:C37"/>
    <mergeCell ref="C23:C25"/>
    <mergeCell ref="E7:E8"/>
    <mergeCell ref="D7:D8"/>
    <mergeCell ref="C7:C8"/>
    <mergeCell ref="C20:C22"/>
    <mergeCell ref="C18:C19"/>
    <mergeCell ref="B20:B22"/>
    <mergeCell ref="B23:B25"/>
    <mergeCell ref="B26:B28"/>
    <mergeCell ref="B29:B31"/>
    <mergeCell ref="D22:E22"/>
    <mergeCell ref="D20:D21"/>
    <mergeCell ref="D18:D19"/>
    <mergeCell ref="B35:B37"/>
    <mergeCell ref="B38:B40"/>
    <mergeCell ref="B32:B34"/>
    <mergeCell ref="D23:D24"/>
    <mergeCell ref="D25:E25"/>
    <mergeCell ref="E4:K4"/>
    <mergeCell ref="D5:K5"/>
    <mergeCell ref="H7:H8"/>
    <mergeCell ref="I7:K7"/>
    <mergeCell ref="H18:H19"/>
    <mergeCell ref="I18:K18"/>
    <mergeCell ref="E18:E19"/>
  </mergeCells>
  <hyperlinks>
    <hyperlink ref="C6" location="Содержание!A1" display="Содержание"/>
  </hyperlinks>
  <pageMargins left="0.19652777777777777" right="0.19652777777777777" top="0.19652777777777777" bottom="0.19652777777777777" header="0.51180555555555551" footer="0.51180555555555551"/>
  <pageSetup paperSize="9" scale="94" firstPageNumber="0" orientation="portrait" horizontalDpi="300" verticalDpi="300" r:id="rId1"/>
  <headerFooter alignWithMargins="0"/>
  <rowBreaks count="1" manualBreakCount="1">
    <brk id="17" max="1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C2:J37"/>
  <sheetViews>
    <sheetView view="pageBreakPreview" zoomScale="98" zoomScaleSheetLayoutView="98" workbookViewId="0">
      <selection activeCell="K12" sqref="K12"/>
    </sheetView>
  </sheetViews>
  <sheetFormatPr defaultColWidth="12.42578125" defaultRowHeight="11.25" outlineLevelCol="1"/>
  <cols>
    <col min="1" max="2" width="2.42578125" style="17" customWidth="1"/>
    <col min="3" max="3" width="15.140625" style="17" customWidth="1"/>
    <col min="4" max="4" width="13.42578125" style="17" customWidth="1"/>
    <col min="5" max="5" width="15.42578125" style="17" customWidth="1"/>
    <col min="6" max="7" width="13.7109375" style="17" customWidth="1" outlineLevel="1"/>
    <col min="8" max="8" width="12.42578125" style="53" customWidth="1"/>
    <col min="9" max="9" width="13.7109375" style="17" customWidth="1"/>
    <col min="10" max="10" width="2.140625" style="17" customWidth="1"/>
    <col min="11" max="16384" width="12.42578125" style="17"/>
  </cols>
  <sheetData>
    <row r="2" spans="3:10">
      <c r="D2" s="30"/>
      <c r="E2" s="31"/>
      <c r="F2" s="30"/>
      <c r="G2" s="30"/>
      <c r="H2" s="32"/>
      <c r="I2" s="30"/>
    </row>
    <row r="3" spans="3:10" ht="12">
      <c r="D3" s="30"/>
      <c r="E3" s="33"/>
      <c r="F3" s="34"/>
      <c r="G3" s="34"/>
      <c r="H3" s="35"/>
      <c r="I3" s="34"/>
    </row>
    <row r="4" spans="3:10" ht="12.75" customHeight="1">
      <c r="D4" s="30"/>
      <c r="E4" s="555"/>
      <c r="F4" s="555"/>
      <c r="G4" s="555"/>
      <c r="H4" s="555"/>
      <c r="I4" s="555"/>
    </row>
    <row r="5" spans="3:10" ht="12.75" customHeight="1">
      <c r="D5" s="556"/>
      <c r="E5" s="556"/>
      <c r="F5" s="556"/>
      <c r="G5" s="556"/>
      <c r="H5" s="556"/>
      <c r="I5" s="556"/>
    </row>
    <row r="6" spans="3:10" ht="20.25">
      <c r="C6" s="7" t="s">
        <v>0</v>
      </c>
      <c r="E6" s="591"/>
      <c r="F6" s="591"/>
      <c r="G6" s="591"/>
      <c r="H6" s="591"/>
      <c r="I6" s="591"/>
    </row>
    <row r="7" spans="3:10" s="37" customFormat="1" ht="33.4" customHeight="1">
      <c r="C7" s="546" t="s">
        <v>1</v>
      </c>
      <c r="D7" s="546" t="s">
        <v>2</v>
      </c>
      <c r="E7" s="546" t="s">
        <v>3</v>
      </c>
      <c r="F7" s="553" t="s">
        <v>186</v>
      </c>
      <c r="G7" s="554" t="s">
        <v>187</v>
      </c>
      <c r="H7" s="554"/>
      <c r="I7" s="554"/>
      <c r="J7" s="77"/>
    </row>
    <row r="8" spans="3:10" s="37" customFormat="1" ht="33.4" customHeight="1">
      <c r="C8" s="546"/>
      <c r="D8" s="546"/>
      <c r="E8" s="546"/>
      <c r="F8" s="553"/>
      <c r="G8" s="176" t="s">
        <v>189</v>
      </c>
      <c r="H8" s="177" t="s">
        <v>190</v>
      </c>
      <c r="I8" s="176" t="s">
        <v>191</v>
      </c>
    </row>
    <row r="9" spans="3:10" ht="26.45" customHeight="1">
      <c r="C9" s="582" t="s">
        <v>21</v>
      </c>
      <c r="D9" s="592" t="s">
        <v>22</v>
      </c>
      <c r="E9" s="97" t="s">
        <v>6</v>
      </c>
      <c r="F9" s="246">
        <v>12100</v>
      </c>
      <c r="G9" s="83">
        <f>CEILING(H9*(1+Наценки!$H$13), 50)</f>
        <v>7050</v>
      </c>
      <c r="H9" s="84">
        <f>CEILING(F9*(1-Наценки!$I$15), 50)</f>
        <v>7400</v>
      </c>
      <c r="I9" s="85">
        <f>CEILING(H9*(1+Наценки!$J$13), 50)</f>
        <v>7800</v>
      </c>
    </row>
    <row r="10" spans="3:10" ht="26.45" customHeight="1">
      <c r="C10" s="582"/>
      <c r="D10" s="592"/>
      <c r="E10" s="54" t="s">
        <v>7</v>
      </c>
      <c r="F10" s="180">
        <f>CEILING($F$9*(1+Наценки!F3), 100)</f>
        <v>12800</v>
      </c>
      <c r="G10" s="42">
        <f>CEILING(H10*(1+Наценки!$H$13), 50)</f>
        <v>7500</v>
      </c>
      <c r="H10" s="43">
        <f>CEILING(F10*(1-Наценки!$I$15), 50)</f>
        <v>7850</v>
      </c>
      <c r="I10" s="58">
        <f>CEILING(H10*(1+Наценки!$J$13), 50)</f>
        <v>8250</v>
      </c>
    </row>
    <row r="11" spans="3:10" ht="26.45" customHeight="1">
      <c r="C11" s="582"/>
      <c r="D11" s="592"/>
      <c r="E11" s="55" t="s">
        <v>8</v>
      </c>
      <c r="F11" s="181">
        <f>CEILING($F$9*(1+Наценки!F4), 100)</f>
        <v>13400</v>
      </c>
      <c r="G11" s="39">
        <f>CEILING(H11*(1+Наценки!$H$13), 50)</f>
        <v>7800</v>
      </c>
      <c r="H11" s="40">
        <f>CEILING(F11*(1-Наценки!$I$15), 50)</f>
        <v>8200</v>
      </c>
      <c r="I11" s="59">
        <f>CEILING(H11*(1+Наценки!$J$13), 50)</f>
        <v>8650</v>
      </c>
    </row>
    <row r="12" spans="3:10" ht="26.45" customHeight="1">
      <c r="C12" s="582"/>
      <c r="D12" s="592"/>
      <c r="E12" s="54" t="s">
        <v>9</v>
      </c>
      <c r="F12" s="180">
        <f>CEILING($F$9*(1+Наценки!F5), 100)</f>
        <v>14000</v>
      </c>
      <c r="G12" s="42">
        <f>CEILING(H12*(1+Наценки!$H$13), 50)</f>
        <v>8150</v>
      </c>
      <c r="H12" s="43">
        <f>CEILING(F12*(1-Наценки!$I$15), 50)</f>
        <v>8550</v>
      </c>
      <c r="I12" s="58">
        <f>CEILING(H12*(1+Наценки!$J$13), 50)</f>
        <v>9000</v>
      </c>
    </row>
    <row r="13" spans="3:10" ht="26.45" customHeight="1" thickBot="1">
      <c r="C13" s="583"/>
      <c r="D13" s="593"/>
      <c r="E13" s="87" t="s">
        <v>10</v>
      </c>
      <c r="F13" s="182">
        <f>CEILING($F$9*(1+Наценки!F6), 100)</f>
        <v>14600</v>
      </c>
      <c r="G13" s="88">
        <f>CEILING(H13*(1+Наценки!$H$13), 50)</f>
        <v>8550</v>
      </c>
      <c r="H13" s="89">
        <f>CEILING(F13*(1-Наценки!$I$15), 50)</f>
        <v>8950</v>
      </c>
      <c r="I13" s="90">
        <f>CEILING(H13*(1+Наценки!$J$13), 50)</f>
        <v>9400</v>
      </c>
    </row>
    <row r="14" spans="3:10" ht="26.45" customHeight="1">
      <c r="C14" s="581" t="s">
        <v>23</v>
      </c>
      <c r="D14" s="584" t="s">
        <v>22</v>
      </c>
      <c r="E14" s="91" t="s">
        <v>6</v>
      </c>
      <c r="F14" s="96">
        <f>F9</f>
        <v>12100</v>
      </c>
      <c r="G14" s="83">
        <f>CEILING(H14*(1+Наценки!$H$13), 50)</f>
        <v>7050</v>
      </c>
      <c r="H14" s="84">
        <f>CEILING(F14*(1-Наценки!$I$15), 50)</f>
        <v>7400</v>
      </c>
      <c r="I14" s="85">
        <f>CEILING(H14*(1+Наценки!$J$13), 50)</f>
        <v>7800</v>
      </c>
    </row>
    <row r="15" spans="3:10" ht="26.45" customHeight="1">
      <c r="C15" s="582"/>
      <c r="D15" s="585"/>
      <c r="E15" s="56" t="s">
        <v>7</v>
      </c>
      <c r="F15" s="180">
        <f>CEILING($F$14*(1+Наценки!F3), 100)</f>
        <v>12800</v>
      </c>
      <c r="G15" s="42">
        <f>CEILING(H15*(1+Наценки!$H$13), 50)</f>
        <v>7500</v>
      </c>
      <c r="H15" s="43">
        <f>CEILING(F15*(1-Наценки!$I$15), 50)</f>
        <v>7850</v>
      </c>
      <c r="I15" s="58">
        <f>CEILING(H15*(1+Наценки!$J$13), 50)</f>
        <v>8250</v>
      </c>
    </row>
    <row r="16" spans="3:10" ht="26.45" customHeight="1">
      <c r="C16" s="582"/>
      <c r="D16" s="585"/>
      <c r="E16" s="57" t="s">
        <v>8</v>
      </c>
      <c r="F16" s="181">
        <f>CEILING($F$14*(1+Наценки!F4), 100)</f>
        <v>13400</v>
      </c>
      <c r="G16" s="39">
        <f>CEILING(H16*(1+Наценки!$H$13), 50)</f>
        <v>7800</v>
      </c>
      <c r="H16" s="40">
        <f>CEILING(F16*(1-Наценки!$I$15), 50)</f>
        <v>8200</v>
      </c>
      <c r="I16" s="59">
        <f>CEILING(H16*(1+Наценки!$J$13), 50)</f>
        <v>8650</v>
      </c>
    </row>
    <row r="17" spans="3:9" ht="26.45" customHeight="1">
      <c r="C17" s="582"/>
      <c r="D17" s="585"/>
      <c r="E17" s="56" t="s">
        <v>9</v>
      </c>
      <c r="F17" s="180">
        <f>CEILING($F$14*(1+Наценки!F5), 100)</f>
        <v>14000</v>
      </c>
      <c r="G17" s="42">
        <f>CEILING(H17*(1+Наценки!$H$13), 50)</f>
        <v>8150</v>
      </c>
      <c r="H17" s="43">
        <f>CEILING(F17*(1-Наценки!$I$15), 50)</f>
        <v>8550</v>
      </c>
      <c r="I17" s="58">
        <f>CEILING(H17*(1+Наценки!$J$13), 50)</f>
        <v>9000</v>
      </c>
    </row>
    <row r="18" spans="3:9" ht="26.45" customHeight="1" thickBot="1">
      <c r="C18" s="583"/>
      <c r="D18" s="586"/>
      <c r="E18" s="95" t="s">
        <v>10</v>
      </c>
      <c r="F18" s="182">
        <f>CEILING($F$14*(1+Наценки!F6), 100)</f>
        <v>14600</v>
      </c>
      <c r="G18" s="88">
        <f>CEILING(H18*(1+Наценки!$H$13), 50)</f>
        <v>8550</v>
      </c>
      <c r="H18" s="89">
        <f>CEILING(F18*(1-Наценки!$I$15), 50)</f>
        <v>8950</v>
      </c>
      <c r="I18" s="90">
        <f>CEILING(H18*(1+Наценки!$J$13), 50)</f>
        <v>9400</v>
      </c>
    </row>
    <row r="19" spans="3:9" ht="26.45" customHeight="1">
      <c r="C19" s="581" t="s">
        <v>24</v>
      </c>
      <c r="D19" s="584" t="s">
        <v>22</v>
      </c>
      <c r="E19" s="91" t="s">
        <v>6</v>
      </c>
      <c r="F19" s="96">
        <f>F9</f>
        <v>12100</v>
      </c>
      <c r="G19" s="83">
        <f>CEILING(H19*(1+Наценки!$H$13), 50)</f>
        <v>7050</v>
      </c>
      <c r="H19" s="84">
        <f>CEILING(F19*(1-Наценки!$I$15), 50)</f>
        <v>7400</v>
      </c>
      <c r="I19" s="85">
        <f>CEILING(H19*(1+Наценки!$J$13), 50)</f>
        <v>7800</v>
      </c>
    </row>
    <row r="20" spans="3:9" ht="26.45" customHeight="1">
      <c r="C20" s="582"/>
      <c r="D20" s="585"/>
      <c r="E20" s="56" t="s">
        <v>7</v>
      </c>
      <c r="F20" s="180">
        <f>CEILING($F$19*(1+Наценки!F3), 100)</f>
        <v>12800</v>
      </c>
      <c r="G20" s="42">
        <f>CEILING(H20*(1+Наценки!$H$13), 50)</f>
        <v>7500</v>
      </c>
      <c r="H20" s="43">
        <f>CEILING(F20*(1-Наценки!$I$15), 50)</f>
        <v>7850</v>
      </c>
      <c r="I20" s="58">
        <f>CEILING(H20*(1+Наценки!$J$13), 50)</f>
        <v>8250</v>
      </c>
    </row>
    <row r="21" spans="3:9" ht="26.45" customHeight="1">
      <c r="C21" s="582"/>
      <c r="D21" s="585"/>
      <c r="E21" s="57" t="s">
        <v>8</v>
      </c>
      <c r="F21" s="181">
        <f>CEILING($F$19*(1+Наценки!F4), 100)</f>
        <v>13400</v>
      </c>
      <c r="G21" s="39">
        <f>CEILING(H21*(1+Наценки!$H$13), 50)</f>
        <v>7800</v>
      </c>
      <c r="H21" s="40">
        <f>CEILING(F21*(1-Наценки!$I$15), 50)</f>
        <v>8200</v>
      </c>
      <c r="I21" s="59">
        <f>CEILING(H21*(1+Наценки!$J$13), 50)</f>
        <v>8650</v>
      </c>
    </row>
    <row r="22" spans="3:9" ht="26.45" customHeight="1">
      <c r="C22" s="582"/>
      <c r="D22" s="585"/>
      <c r="E22" s="56" t="s">
        <v>9</v>
      </c>
      <c r="F22" s="180">
        <f>CEILING($F$19*(1+Наценки!F5), 100)</f>
        <v>14000</v>
      </c>
      <c r="G22" s="42">
        <f>CEILING(H22*(1+Наценки!$H$13), 50)</f>
        <v>8150</v>
      </c>
      <c r="H22" s="43">
        <f>CEILING(F22*(1-Наценки!$I$15), 50)</f>
        <v>8550</v>
      </c>
      <c r="I22" s="58">
        <f>CEILING(H22*(1+Наценки!$J$13), 50)</f>
        <v>9000</v>
      </c>
    </row>
    <row r="23" spans="3:9" ht="26.45" customHeight="1" thickBot="1">
      <c r="C23" s="583"/>
      <c r="D23" s="586"/>
      <c r="E23" s="95" t="s">
        <v>10</v>
      </c>
      <c r="F23" s="182">
        <f>CEILING($F$19*(1+Наценки!F6), 100)</f>
        <v>14600</v>
      </c>
      <c r="G23" s="88">
        <f>CEILING(H23*(1+Наценки!$H$13), 50)</f>
        <v>8550</v>
      </c>
      <c r="H23" s="89">
        <f>CEILING(F23*(1-Наценки!$I$15), 50)</f>
        <v>8950</v>
      </c>
      <c r="I23" s="90">
        <f>CEILING(H23*(1+Наценки!$J$13), 50)</f>
        <v>9400</v>
      </c>
    </row>
    <row r="24" spans="3:9" ht="26.45" customHeight="1">
      <c r="C24" s="581" t="s">
        <v>25</v>
      </c>
      <c r="D24" s="584" t="s">
        <v>22</v>
      </c>
      <c r="E24" s="91" t="s">
        <v>6</v>
      </c>
      <c r="F24" s="96">
        <f>F9</f>
        <v>12100</v>
      </c>
      <c r="G24" s="83">
        <f>CEILING(H24*(1+Наценки!$H$13), 50)</f>
        <v>7050</v>
      </c>
      <c r="H24" s="84">
        <f>CEILING(F24*(1-Наценки!$I$15), 50)</f>
        <v>7400</v>
      </c>
      <c r="I24" s="85">
        <f>CEILING(H24*(1+Наценки!$J$13), 50)</f>
        <v>7800</v>
      </c>
    </row>
    <row r="25" spans="3:9" ht="26.45" customHeight="1">
      <c r="C25" s="582"/>
      <c r="D25" s="585"/>
      <c r="E25" s="56" t="s">
        <v>7</v>
      </c>
      <c r="F25" s="180">
        <f>CEILING($F$24*(1+Наценки!F3), 100)</f>
        <v>12800</v>
      </c>
      <c r="G25" s="42">
        <f>CEILING(H25*(1+Наценки!$H$13), 50)</f>
        <v>7500</v>
      </c>
      <c r="H25" s="43">
        <f>CEILING(F25*(1-Наценки!$I$15), 50)</f>
        <v>7850</v>
      </c>
      <c r="I25" s="58">
        <f>CEILING(H25*(1+Наценки!$J$13), 50)</f>
        <v>8250</v>
      </c>
    </row>
    <row r="26" spans="3:9" ht="26.45" customHeight="1">
      <c r="C26" s="582"/>
      <c r="D26" s="585"/>
      <c r="E26" s="57" t="s">
        <v>8</v>
      </c>
      <c r="F26" s="181">
        <f>CEILING($F$24*(1+Наценки!F4), 100)</f>
        <v>13400</v>
      </c>
      <c r="G26" s="39">
        <f>CEILING(H26*(1+Наценки!$H$13), 50)</f>
        <v>7800</v>
      </c>
      <c r="H26" s="40">
        <f>CEILING(F26*(1-Наценки!$I$15), 50)</f>
        <v>8200</v>
      </c>
      <c r="I26" s="59">
        <f>CEILING(H26*(1+Наценки!$J$13), 50)</f>
        <v>8650</v>
      </c>
    </row>
    <row r="27" spans="3:9" ht="26.45" customHeight="1">
      <c r="C27" s="582"/>
      <c r="D27" s="585"/>
      <c r="E27" s="56" t="s">
        <v>9</v>
      </c>
      <c r="F27" s="180">
        <f>CEILING($F$24*(1+Наценки!F5), 100)</f>
        <v>14000</v>
      </c>
      <c r="G27" s="42">
        <f>CEILING(H27*(1+Наценки!$H$13), 50)</f>
        <v>8150</v>
      </c>
      <c r="H27" s="43">
        <f>CEILING(F27*(1-Наценки!$I$15), 50)</f>
        <v>8550</v>
      </c>
      <c r="I27" s="58">
        <f>CEILING(H27*(1+Наценки!$J$13), 50)</f>
        <v>9000</v>
      </c>
    </row>
    <row r="28" spans="3:9" ht="26.45" customHeight="1" thickBot="1">
      <c r="C28" s="583"/>
      <c r="D28" s="586"/>
      <c r="E28" s="95" t="s">
        <v>10</v>
      </c>
      <c r="F28" s="182">
        <f>CEILING($F$24*(1+Наценки!F6), 100)</f>
        <v>14600</v>
      </c>
      <c r="G28" s="88">
        <f>CEILING(H28*(1+Наценки!$H$13), 50)</f>
        <v>8550</v>
      </c>
      <c r="H28" s="89">
        <f>CEILING(F28*(1-Наценки!$I$15), 50)</f>
        <v>8950</v>
      </c>
      <c r="I28" s="90">
        <f>CEILING(H28*(1+Наценки!$J$13), 50)</f>
        <v>9400</v>
      </c>
    </row>
    <row r="29" spans="3:9" ht="26.45" customHeight="1">
      <c r="C29" s="587" t="s">
        <v>26</v>
      </c>
      <c r="D29" s="589" t="s">
        <v>22</v>
      </c>
      <c r="E29" s="79" t="s">
        <v>6</v>
      </c>
      <c r="F29" s="86">
        <f>F9</f>
        <v>12100</v>
      </c>
      <c r="G29" s="83">
        <f>CEILING(H29*(1+Наценки!$H$13), 50)</f>
        <v>7050</v>
      </c>
      <c r="H29" s="84">
        <f>CEILING(F29*(1-Наценки!$I$15), 50)</f>
        <v>7400</v>
      </c>
      <c r="I29" s="85">
        <f>CEILING(H29*(1+Наценки!$J$13), 50)</f>
        <v>7800</v>
      </c>
    </row>
    <row r="30" spans="3:9" ht="26.45" customHeight="1">
      <c r="C30" s="587"/>
      <c r="D30" s="589"/>
      <c r="E30" s="56" t="s">
        <v>7</v>
      </c>
      <c r="F30" s="180">
        <f>CEILING($F$29*(1+Наценки!F3), 100)</f>
        <v>12800</v>
      </c>
      <c r="G30" s="42">
        <f>CEILING(H30*(1+Наценки!$H$13), 50)</f>
        <v>7500</v>
      </c>
      <c r="H30" s="43">
        <f>CEILING(F30*(1-Наценки!$I$15), 50)</f>
        <v>7850</v>
      </c>
      <c r="I30" s="58">
        <f>CEILING(H30*(1+Наценки!$J$13), 50)</f>
        <v>8250</v>
      </c>
    </row>
    <row r="31" spans="3:9" ht="26.45" customHeight="1">
      <c r="C31" s="587"/>
      <c r="D31" s="589"/>
      <c r="E31" s="57" t="s">
        <v>8</v>
      </c>
      <c r="F31" s="181">
        <f>CEILING($F$29*(1+Наценки!F4), 100)</f>
        <v>13400</v>
      </c>
      <c r="G31" s="39">
        <f>CEILING(H31*(1+Наценки!$H$13), 50)</f>
        <v>7800</v>
      </c>
      <c r="H31" s="40">
        <f>CEILING(F31*(1-Наценки!$I$15), 50)</f>
        <v>8200</v>
      </c>
      <c r="I31" s="59">
        <f>CEILING(H31*(1+Наценки!$J$13), 50)</f>
        <v>8650</v>
      </c>
    </row>
    <row r="32" spans="3:9" ht="26.45" customHeight="1">
      <c r="C32" s="587"/>
      <c r="D32" s="589"/>
      <c r="E32" s="56" t="s">
        <v>9</v>
      </c>
      <c r="F32" s="180">
        <f>CEILING($F$29*(1+Наценки!F5), 100)</f>
        <v>14000</v>
      </c>
      <c r="G32" s="42">
        <f>CEILING(H32*(1+Наценки!$H$13), 50)</f>
        <v>8150</v>
      </c>
      <c r="H32" s="43">
        <f>CEILING(F32*(1-Наценки!$I$15), 50)</f>
        <v>8550</v>
      </c>
      <c r="I32" s="58">
        <f>CEILING(H32*(1+Наценки!$J$13), 50)</f>
        <v>9000</v>
      </c>
    </row>
    <row r="33" spans="3:9" ht="26.45" customHeight="1" thickBot="1">
      <c r="C33" s="588"/>
      <c r="D33" s="590"/>
      <c r="E33" s="95" t="s">
        <v>10</v>
      </c>
      <c r="F33" s="182">
        <f>CEILING($F$29*(1+Наценки!F6), 100)</f>
        <v>14600</v>
      </c>
      <c r="G33" s="88">
        <f>CEILING(H33*(1+Наценки!$H$13), 50)</f>
        <v>8550</v>
      </c>
      <c r="H33" s="89">
        <f>CEILING(F33*(1-Наценки!$I$15), 50)</f>
        <v>8950</v>
      </c>
      <c r="I33" s="90">
        <f>CEILING(H33*(1+Наценки!$J$13), 50)</f>
        <v>9400</v>
      </c>
    </row>
    <row r="34" spans="3:9" s="47" customFormat="1" ht="12.75">
      <c r="C34" s="49" t="s">
        <v>27</v>
      </c>
      <c r="D34" s="50"/>
      <c r="E34" s="50"/>
      <c r="F34" s="51"/>
      <c r="G34" s="51"/>
      <c r="H34" s="52"/>
      <c r="I34" s="51"/>
    </row>
    <row r="35" spans="3:9" s="47" customFormat="1" ht="12.75">
      <c r="C35" s="49"/>
      <c r="D35" s="50"/>
      <c r="E35" s="50"/>
      <c r="F35" s="51"/>
      <c r="G35" s="51"/>
      <c r="H35" s="52"/>
      <c r="I35" s="51"/>
    </row>
    <row r="37" spans="3:9" ht="11.25" customHeight="1"/>
  </sheetData>
  <sheetProtection selectLockedCells="1" selectUnlockedCells="1"/>
  <mergeCells count="18">
    <mergeCell ref="C14:C18"/>
    <mergeCell ref="D14:D18"/>
    <mergeCell ref="E4:I4"/>
    <mergeCell ref="D5:I5"/>
    <mergeCell ref="E6:I6"/>
    <mergeCell ref="C9:C13"/>
    <mergeCell ref="D9:D13"/>
    <mergeCell ref="C7:C8"/>
    <mergeCell ref="D7:D8"/>
    <mergeCell ref="E7:E8"/>
    <mergeCell ref="F7:F8"/>
    <mergeCell ref="G7:I7"/>
    <mergeCell ref="C19:C23"/>
    <mergeCell ref="D19:D23"/>
    <mergeCell ref="C24:C28"/>
    <mergeCell ref="D24:D28"/>
    <mergeCell ref="C29:C33"/>
    <mergeCell ref="D29:D33"/>
  </mergeCells>
  <hyperlinks>
    <hyperlink ref="C6" location="Содержание!A1" display="Содержание"/>
  </hyperlinks>
  <pageMargins left="0.19652777777777777" right="0.19652777777777777" top="0.19652777777777777" bottom="0.19652777777777777" header="0.51180555555555551" footer="0.51180555555555551"/>
  <pageSetup paperSize="9" scale="97"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C2:J33"/>
  <sheetViews>
    <sheetView view="pageBreakPreview" zoomScale="85" zoomScaleSheetLayoutView="85" workbookViewId="0">
      <selection activeCell="O17" sqref="N17:O18"/>
    </sheetView>
  </sheetViews>
  <sheetFormatPr defaultColWidth="12.42578125" defaultRowHeight="11.25" outlineLevelCol="1"/>
  <cols>
    <col min="1" max="2" width="2.42578125" style="17" customWidth="1"/>
    <col min="3" max="3" width="15.140625" style="17" customWidth="1"/>
    <col min="4" max="4" width="13.42578125" style="17" customWidth="1"/>
    <col min="5" max="5" width="15.42578125" style="17" customWidth="1"/>
    <col min="6" max="7" width="13.7109375" style="17" hidden="1" customWidth="1" outlineLevel="1"/>
    <col min="8" max="8" width="12.42578125" style="53" customWidth="1" collapsed="1"/>
    <col min="9" max="9" width="13.7109375" style="17" customWidth="1"/>
    <col min="10" max="10" width="2.140625" style="17" customWidth="1"/>
    <col min="11" max="16384" width="12.42578125" style="17"/>
  </cols>
  <sheetData>
    <row r="2" spans="3:10">
      <c r="D2" s="30"/>
      <c r="E2" s="31"/>
      <c r="F2" s="30"/>
      <c r="G2" s="30"/>
      <c r="H2" s="32"/>
      <c r="I2" s="30"/>
    </row>
    <row r="3" spans="3:10" ht="12">
      <c r="D3" s="30"/>
      <c r="E3" s="33"/>
      <c r="F3" s="34"/>
      <c r="G3" s="34"/>
      <c r="H3" s="35"/>
      <c r="I3" s="34"/>
    </row>
    <row r="4" spans="3:10" ht="12.75" customHeight="1">
      <c r="D4" s="30"/>
      <c r="E4" s="555"/>
      <c r="F4" s="555"/>
      <c r="G4" s="555"/>
      <c r="H4" s="555"/>
      <c r="I4" s="555"/>
    </row>
    <row r="5" spans="3:10" ht="12.75" customHeight="1">
      <c r="D5" s="556"/>
      <c r="E5" s="556"/>
      <c r="F5" s="556"/>
      <c r="G5" s="556"/>
      <c r="H5" s="556"/>
      <c r="I5" s="556"/>
    </row>
    <row r="6" spans="3:10" ht="20.25">
      <c r="C6" s="7" t="s">
        <v>0</v>
      </c>
      <c r="E6" s="591"/>
      <c r="F6" s="591"/>
      <c r="G6" s="591"/>
      <c r="H6" s="591"/>
      <c r="I6" s="591"/>
    </row>
    <row r="7" spans="3:10" s="37" customFormat="1" ht="33.4" customHeight="1">
      <c r="C7" s="546" t="s">
        <v>1</v>
      </c>
      <c r="D7" s="546" t="s">
        <v>2</v>
      </c>
      <c r="E7" s="546" t="s">
        <v>3</v>
      </c>
      <c r="F7" s="553" t="s">
        <v>186</v>
      </c>
      <c r="G7" s="554" t="s">
        <v>187</v>
      </c>
      <c r="H7" s="554"/>
      <c r="I7" s="554"/>
      <c r="J7" s="77"/>
    </row>
    <row r="8" spans="3:10" s="37" customFormat="1" ht="33.4" customHeight="1">
      <c r="C8" s="546"/>
      <c r="D8" s="546"/>
      <c r="E8" s="546"/>
      <c r="F8" s="553"/>
      <c r="G8" s="176" t="s">
        <v>189</v>
      </c>
      <c r="H8" s="177" t="s">
        <v>190</v>
      </c>
      <c r="I8" s="176" t="s">
        <v>191</v>
      </c>
      <c r="J8" s="77"/>
    </row>
    <row r="9" spans="3:10" ht="26.45" customHeight="1">
      <c r="C9" s="595" t="s">
        <v>90</v>
      </c>
      <c r="D9" s="598" t="s">
        <v>22</v>
      </c>
      <c r="E9" s="183" t="s">
        <v>6</v>
      </c>
      <c r="F9" s="246">
        <v>12100</v>
      </c>
      <c r="G9" s="83">
        <f>CEILING(H9*(1+Наценки!$H$13), 50)</f>
        <v>7050</v>
      </c>
      <c r="H9" s="84">
        <f>CEILING(F9*(1-Наценки!$I$15), 50)</f>
        <v>7400</v>
      </c>
      <c r="I9" s="85">
        <f>CEILING(H9*(1+Наценки!$J$13), 50)</f>
        <v>7800</v>
      </c>
    </row>
    <row r="10" spans="3:10" ht="26.45" customHeight="1">
      <c r="C10" s="595"/>
      <c r="D10" s="598"/>
      <c r="E10" s="184" t="s">
        <v>7</v>
      </c>
      <c r="F10" s="180">
        <f>CEILING($F$9*(1+Наценки!F3), 100)</f>
        <v>12800</v>
      </c>
      <c r="G10" s="42">
        <f>CEILING(H10*(1+Наценки!$H$13), 50)</f>
        <v>7500</v>
      </c>
      <c r="H10" s="43">
        <f>CEILING(F10*(1-Наценки!$I$15), 50)</f>
        <v>7850</v>
      </c>
      <c r="I10" s="58">
        <f>CEILING(H10*(1+Наценки!$J$13), 50)</f>
        <v>8250</v>
      </c>
    </row>
    <row r="11" spans="3:10" ht="26.45" customHeight="1">
      <c r="C11" s="595"/>
      <c r="D11" s="598"/>
      <c r="E11" s="183" t="s">
        <v>8</v>
      </c>
      <c r="F11" s="181">
        <f>CEILING($F$9*(1+Наценки!F4), 100)</f>
        <v>13400</v>
      </c>
      <c r="G11" s="39">
        <f>CEILING(H11*(1+Наценки!$H$13), 50)</f>
        <v>7800</v>
      </c>
      <c r="H11" s="40">
        <f>CEILING(F11*(1-Наценки!$I$15), 50)</f>
        <v>8200</v>
      </c>
      <c r="I11" s="59">
        <f>CEILING(H11*(1+Наценки!$J$13), 50)</f>
        <v>8650</v>
      </c>
    </row>
    <row r="12" spans="3:10" ht="26.45" customHeight="1">
      <c r="C12" s="595"/>
      <c r="D12" s="598"/>
      <c r="E12" s="184" t="s">
        <v>9</v>
      </c>
      <c r="F12" s="180">
        <f>CEILING($F$9*(1+Наценки!F5), 100)</f>
        <v>14000</v>
      </c>
      <c r="G12" s="42">
        <f>CEILING(H12*(1+Наценки!$H$13), 50)</f>
        <v>8150</v>
      </c>
      <c r="H12" s="43">
        <f>CEILING(F12*(1-Наценки!$I$15), 50)</f>
        <v>8550</v>
      </c>
      <c r="I12" s="58">
        <f>CEILING(H12*(1+Наценки!$J$13), 50)</f>
        <v>9000</v>
      </c>
    </row>
    <row r="13" spans="3:10" ht="26.45" customHeight="1" thickBot="1">
      <c r="C13" s="596"/>
      <c r="D13" s="599"/>
      <c r="E13" s="185" t="s">
        <v>10</v>
      </c>
      <c r="F13" s="182">
        <f>CEILING($F$9*(1+Наценки!F6), 100)</f>
        <v>14600</v>
      </c>
      <c r="G13" s="88">
        <f>CEILING(H13*(1+Наценки!$H$13), 50)</f>
        <v>8550</v>
      </c>
      <c r="H13" s="89">
        <f>CEILING(F13*(1-Наценки!$I$15), 50)</f>
        <v>8950</v>
      </c>
      <c r="I13" s="90">
        <f>CEILING(H13*(1+Наценки!$J$13), 50)</f>
        <v>9400</v>
      </c>
    </row>
    <row r="14" spans="3:10" ht="26.45" customHeight="1">
      <c r="C14" s="594" t="s">
        <v>91</v>
      </c>
      <c r="D14" s="597" t="s">
        <v>22</v>
      </c>
      <c r="E14" s="186" t="s">
        <v>6</v>
      </c>
      <c r="F14" s="96">
        <f>F9</f>
        <v>12100</v>
      </c>
      <c r="G14" s="83">
        <f>CEILING(H14*(1+Наценки!$H$13), 50)</f>
        <v>7050</v>
      </c>
      <c r="H14" s="84">
        <f>CEILING(F14*(1-Наценки!$I$15), 50)</f>
        <v>7400</v>
      </c>
      <c r="I14" s="85">
        <f>CEILING(H14*(1+Наценки!$J$13), 50)</f>
        <v>7800</v>
      </c>
    </row>
    <row r="15" spans="3:10" ht="26.45" customHeight="1">
      <c r="C15" s="595"/>
      <c r="D15" s="598"/>
      <c r="E15" s="184" t="s">
        <v>7</v>
      </c>
      <c r="F15" s="180">
        <f>CEILING($F$14*(1+Наценки!F3), 100)</f>
        <v>12800</v>
      </c>
      <c r="G15" s="42">
        <f>CEILING(H15*(1+Наценки!$H$13), 50)</f>
        <v>7500</v>
      </c>
      <c r="H15" s="43">
        <f>CEILING(F15*(1-Наценки!$I$15), 50)</f>
        <v>7850</v>
      </c>
      <c r="I15" s="58">
        <f>CEILING(H15*(1+Наценки!$J$13), 50)</f>
        <v>8250</v>
      </c>
    </row>
    <row r="16" spans="3:10" ht="26.45" customHeight="1">
      <c r="C16" s="595"/>
      <c r="D16" s="598"/>
      <c r="E16" s="183" t="s">
        <v>8</v>
      </c>
      <c r="F16" s="181">
        <f>CEILING($F$14*(1+Наценки!F4), 100)</f>
        <v>13400</v>
      </c>
      <c r="G16" s="39">
        <f>CEILING(H16*(1+Наценки!$H$13), 50)</f>
        <v>7800</v>
      </c>
      <c r="H16" s="40">
        <f>CEILING(F16*(1-Наценки!$I$15), 50)</f>
        <v>8200</v>
      </c>
      <c r="I16" s="59">
        <f>CEILING(H16*(1+Наценки!$J$13), 50)</f>
        <v>8650</v>
      </c>
    </row>
    <row r="17" spans="3:9" ht="26.45" customHeight="1">
      <c r="C17" s="595"/>
      <c r="D17" s="598"/>
      <c r="E17" s="184" t="s">
        <v>9</v>
      </c>
      <c r="F17" s="180">
        <f>CEILING($F$14*(1+Наценки!F5), 100)</f>
        <v>14000</v>
      </c>
      <c r="G17" s="42">
        <f>CEILING(H17*(1+Наценки!$H$13), 50)</f>
        <v>8150</v>
      </c>
      <c r="H17" s="43">
        <f>CEILING(F17*(1-Наценки!$I$15), 50)</f>
        <v>8550</v>
      </c>
      <c r="I17" s="58">
        <f>CEILING(H17*(1+Наценки!$J$13), 50)</f>
        <v>9000</v>
      </c>
    </row>
    <row r="18" spans="3:9" ht="26.45" customHeight="1" thickBot="1">
      <c r="C18" s="596"/>
      <c r="D18" s="599"/>
      <c r="E18" s="185" t="s">
        <v>10</v>
      </c>
      <c r="F18" s="182">
        <f>CEILING($F$14*(1+Наценки!F6), 100)</f>
        <v>14600</v>
      </c>
      <c r="G18" s="88">
        <f>CEILING(H18*(1+Наценки!$H$13), 50)</f>
        <v>8550</v>
      </c>
      <c r="H18" s="89">
        <f>CEILING(F18*(1-Наценки!$I$15), 50)</f>
        <v>8950</v>
      </c>
      <c r="I18" s="90">
        <f>CEILING(H18*(1+Наценки!$J$13), 50)</f>
        <v>9400</v>
      </c>
    </row>
    <row r="19" spans="3:9" ht="26.45" customHeight="1">
      <c r="C19" s="594" t="s">
        <v>92</v>
      </c>
      <c r="D19" s="597" t="s">
        <v>22</v>
      </c>
      <c r="E19" s="186" t="s">
        <v>6</v>
      </c>
      <c r="F19" s="96">
        <f>F9</f>
        <v>12100</v>
      </c>
      <c r="G19" s="83">
        <f>CEILING(H19*(1+Наценки!$H$13), 50)</f>
        <v>7050</v>
      </c>
      <c r="H19" s="84">
        <f>CEILING(F19*(1-Наценки!$I$15), 50)</f>
        <v>7400</v>
      </c>
      <c r="I19" s="85">
        <f>CEILING(H19*(1+Наценки!$J$13), 50)</f>
        <v>7800</v>
      </c>
    </row>
    <row r="20" spans="3:9" ht="26.45" customHeight="1">
      <c r="C20" s="595"/>
      <c r="D20" s="598"/>
      <c r="E20" s="184" t="s">
        <v>7</v>
      </c>
      <c r="F20" s="180">
        <f>CEILING($F$19*(1+Наценки!F3), 100)</f>
        <v>12800</v>
      </c>
      <c r="G20" s="42">
        <f>CEILING(H20*(1+Наценки!$H$13), 50)</f>
        <v>7500</v>
      </c>
      <c r="H20" s="43">
        <f>CEILING(F20*(1-Наценки!$I$15), 50)</f>
        <v>7850</v>
      </c>
      <c r="I20" s="58">
        <f>CEILING(H20*(1+Наценки!$J$13), 50)</f>
        <v>8250</v>
      </c>
    </row>
    <row r="21" spans="3:9" ht="26.45" customHeight="1">
      <c r="C21" s="595"/>
      <c r="D21" s="598"/>
      <c r="E21" s="183" t="s">
        <v>8</v>
      </c>
      <c r="F21" s="181">
        <f>CEILING($F$19*(1+Наценки!F4), 100)</f>
        <v>13400</v>
      </c>
      <c r="G21" s="39">
        <f>CEILING(H21*(1+Наценки!$H$13), 50)</f>
        <v>7800</v>
      </c>
      <c r="H21" s="40">
        <f>CEILING(F21*(1-Наценки!$I$15), 50)</f>
        <v>8200</v>
      </c>
      <c r="I21" s="59">
        <f>CEILING(H21*(1+Наценки!$J$13), 50)</f>
        <v>8650</v>
      </c>
    </row>
    <row r="22" spans="3:9" ht="26.45" customHeight="1">
      <c r="C22" s="595"/>
      <c r="D22" s="598"/>
      <c r="E22" s="184" t="s">
        <v>9</v>
      </c>
      <c r="F22" s="180">
        <f>CEILING($F$19*(1+Наценки!F5), 100)</f>
        <v>14000</v>
      </c>
      <c r="G22" s="42">
        <f>CEILING(H22*(1+Наценки!$H$13), 50)</f>
        <v>8150</v>
      </c>
      <c r="H22" s="43">
        <f>CEILING(F22*(1-Наценки!$I$15), 50)</f>
        <v>8550</v>
      </c>
      <c r="I22" s="58">
        <f>CEILING(H22*(1+Наценки!$J$13), 50)</f>
        <v>9000</v>
      </c>
    </row>
    <row r="23" spans="3:9" ht="26.45" customHeight="1" thickBot="1">
      <c r="C23" s="596"/>
      <c r="D23" s="599"/>
      <c r="E23" s="185" t="s">
        <v>10</v>
      </c>
      <c r="F23" s="182">
        <f>CEILING($F$19*(1+Наценки!F6), 100)</f>
        <v>14600</v>
      </c>
      <c r="G23" s="88">
        <f>CEILING(H23*(1+Наценки!$H$13), 50)</f>
        <v>8550</v>
      </c>
      <c r="H23" s="89">
        <f>CEILING(F23*(1-Наценки!$I$15), 50)</f>
        <v>8950</v>
      </c>
      <c r="I23" s="90">
        <f>CEILING(H23*(1+Наценки!$J$13), 50)</f>
        <v>9400</v>
      </c>
    </row>
    <row r="24" spans="3:9" ht="26.45" customHeight="1">
      <c r="C24" s="594" t="s">
        <v>93</v>
      </c>
      <c r="D24" s="597" t="s">
        <v>22</v>
      </c>
      <c r="E24" s="186" t="s">
        <v>6</v>
      </c>
      <c r="F24" s="96">
        <f>F9</f>
        <v>12100</v>
      </c>
      <c r="G24" s="83">
        <f>CEILING(H24*(1+Наценки!$H$13), 50)</f>
        <v>7050</v>
      </c>
      <c r="H24" s="84">
        <f>CEILING(F24*(1-Наценки!$I$15), 50)</f>
        <v>7400</v>
      </c>
      <c r="I24" s="85">
        <f>CEILING(H24*(1+Наценки!$J$13), 50)</f>
        <v>7800</v>
      </c>
    </row>
    <row r="25" spans="3:9" ht="26.45" customHeight="1">
      <c r="C25" s="595"/>
      <c r="D25" s="598"/>
      <c r="E25" s="184" t="s">
        <v>7</v>
      </c>
      <c r="F25" s="180">
        <f>CEILING($F$24*(1+Наценки!F3), 100)</f>
        <v>12800</v>
      </c>
      <c r="G25" s="42">
        <f>CEILING(H25*(1+Наценки!$H$13), 50)</f>
        <v>7500</v>
      </c>
      <c r="H25" s="43">
        <f>CEILING(F25*(1-Наценки!$I$15), 50)</f>
        <v>7850</v>
      </c>
      <c r="I25" s="58">
        <f>CEILING(H25*(1+Наценки!$J$13), 50)</f>
        <v>8250</v>
      </c>
    </row>
    <row r="26" spans="3:9" ht="26.45" customHeight="1">
      <c r="C26" s="595"/>
      <c r="D26" s="598"/>
      <c r="E26" s="183" t="s">
        <v>8</v>
      </c>
      <c r="F26" s="181">
        <f>CEILING($F$24*(1+Наценки!F4), 100)</f>
        <v>13400</v>
      </c>
      <c r="G26" s="39">
        <f>CEILING(H26*(1+Наценки!$H$13), 50)</f>
        <v>7800</v>
      </c>
      <c r="H26" s="40">
        <f>CEILING(F26*(1-Наценки!$I$15), 50)</f>
        <v>8200</v>
      </c>
      <c r="I26" s="59">
        <f>CEILING(H26*(1+Наценки!$J$13), 50)</f>
        <v>8650</v>
      </c>
    </row>
    <row r="27" spans="3:9" ht="26.45" customHeight="1">
      <c r="C27" s="595"/>
      <c r="D27" s="598"/>
      <c r="E27" s="184" t="s">
        <v>9</v>
      </c>
      <c r="F27" s="180">
        <f>CEILING($F$24*(1+Наценки!F5), 100)</f>
        <v>14000</v>
      </c>
      <c r="G27" s="42">
        <f>CEILING(H27*(1+Наценки!$H$13), 50)</f>
        <v>8150</v>
      </c>
      <c r="H27" s="43">
        <f>CEILING(F27*(1-Наценки!$I$15), 50)</f>
        <v>8550</v>
      </c>
      <c r="I27" s="58">
        <f>CEILING(H27*(1+Наценки!$J$13), 50)</f>
        <v>9000</v>
      </c>
    </row>
    <row r="28" spans="3:9" ht="26.45" customHeight="1" thickBot="1">
      <c r="C28" s="596"/>
      <c r="D28" s="599"/>
      <c r="E28" s="185" t="s">
        <v>10</v>
      </c>
      <c r="F28" s="182">
        <f>CEILING($F$24*(1+Наценки!F6), 100)</f>
        <v>14600</v>
      </c>
      <c r="G28" s="88">
        <f>CEILING(H28*(1+Наценки!$H$13), 50)</f>
        <v>8550</v>
      </c>
      <c r="H28" s="89">
        <f>CEILING(F28*(1-Наценки!$I$15), 50)</f>
        <v>8950</v>
      </c>
      <c r="I28" s="90">
        <f>CEILING(H28*(1+Наценки!$J$13), 50)</f>
        <v>9400</v>
      </c>
    </row>
    <row r="29" spans="3:9" s="47" customFormat="1" ht="12">
      <c r="C29" s="120"/>
      <c r="D29" s="120"/>
      <c r="F29" s="17"/>
      <c r="G29" s="17"/>
      <c r="H29" s="53"/>
      <c r="I29" s="17"/>
    </row>
    <row r="30" spans="3:9" s="47" customFormat="1" ht="12.75">
      <c r="C30" s="49" t="s">
        <v>94</v>
      </c>
      <c r="D30" s="50"/>
      <c r="E30" s="50"/>
      <c r="F30" s="17"/>
      <c r="G30" s="17"/>
      <c r="H30" s="53"/>
      <c r="I30" s="17"/>
    </row>
    <row r="31" spans="3:9" s="47" customFormat="1" ht="12.75">
      <c r="C31" s="49"/>
      <c r="D31" s="50"/>
      <c r="E31" s="50"/>
      <c r="F31" s="17"/>
      <c r="G31" s="17"/>
      <c r="H31" s="53"/>
      <c r="I31" s="17"/>
    </row>
    <row r="33" ht="11.25" customHeight="1"/>
  </sheetData>
  <sheetProtection selectLockedCells="1" selectUnlockedCells="1"/>
  <mergeCells count="16">
    <mergeCell ref="E4:I4"/>
    <mergeCell ref="D5:I5"/>
    <mergeCell ref="E6:I6"/>
    <mergeCell ref="C9:C13"/>
    <mergeCell ref="D9:D13"/>
    <mergeCell ref="C7:C8"/>
    <mergeCell ref="D7:D8"/>
    <mergeCell ref="E7:E8"/>
    <mergeCell ref="F7:F8"/>
    <mergeCell ref="G7:I7"/>
    <mergeCell ref="C19:C23"/>
    <mergeCell ref="D19:D23"/>
    <mergeCell ref="C24:C28"/>
    <mergeCell ref="D24:D28"/>
    <mergeCell ref="C14:C18"/>
    <mergeCell ref="D14:D18"/>
  </mergeCells>
  <hyperlinks>
    <hyperlink ref="C6" location="Содержание!A1" display="Содержание"/>
  </hyperlinks>
  <pageMargins left="0.19652777777777777" right="0.19652777777777777" top="0.19652777777777777" bottom="0.19652777777777777" header="0.51180555555555551" footer="0.51180555555555551"/>
  <pageSetup paperSize="9" scale="98" firstPageNumber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23"/>
  <sheetViews>
    <sheetView view="pageBreakPreview" zoomScale="90" zoomScaleSheetLayoutView="90" workbookViewId="0">
      <selection activeCell="K34" sqref="K34"/>
    </sheetView>
  </sheetViews>
  <sheetFormatPr defaultColWidth="12.42578125" defaultRowHeight="15"/>
  <cols>
    <col min="1" max="1" width="2.5703125" style="17" customWidth="1"/>
    <col min="2" max="2" width="15.140625" style="17" customWidth="1"/>
    <col min="3" max="3" width="11" style="17" customWidth="1"/>
    <col min="4" max="4" width="15.42578125" style="17" customWidth="1"/>
    <col min="5" max="5" width="4.5703125" style="15" bestFit="1" customWidth="1"/>
    <col min="6" max="7" width="13.7109375" style="17" customWidth="1"/>
    <col min="8" max="8" width="12.42578125" style="53" customWidth="1"/>
    <col min="9" max="9" width="13.7109375" style="17" customWidth="1"/>
    <col min="10" max="10" width="2.140625" style="17" customWidth="1"/>
    <col min="11" max="16384" width="12.42578125" style="17"/>
  </cols>
  <sheetData>
    <row r="2" spans="2:16">
      <c r="C2" s="30"/>
      <c r="D2" s="31"/>
      <c r="E2" s="13"/>
      <c r="F2" s="30"/>
      <c r="G2" s="30"/>
      <c r="H2" s="32"/>
      <c r="I2" s="30"/>
    </row>
    <row r="3" spans="2:16" ht="12">
      <c r="C3" s="30"/>
      <c r="D3" s="33"/>
      <c r="E3" s="14"/>
      <c r="F3" s="173"/>
      <c r="G3" s="173"/>
      <c r="H3" s="35"/>
      <c r="I3" s="173"/>
    </row>
    <row r="4" spans="2:16" ht="12.75" customHeight="1">
      <c r="C4" s="30"/>
      <c r="D4" s="555"/>
      <c r="E4" s="555"/>
      <c r="F4" s="555"/>
      <c r="G4" s="555"/>
      <c r="H4" s="555"/>
      <c r="I4" s="555"/>
    </row>
    <row r="5" spans="2:16" ht="12.75" customHeight="1">
      <c r="C5" s="556"/>
      <c r="D5" s="556"/>
      <c r="E5" s="556"/>
      <c r="F5" s="556"/>
      <c r="G5" s="556"/>
      <c r="H5" s="556"/>
      <c r="I5" s="556"/>
    </row>
    <row r="6" spans="2:16" ht="20.25">
      <c r="B6" s="7" t="s">
        <v>0</v>
      </c>
      <c r="D6" s="591"/>
      <c r="E6" s="591"/>
      <c r="F6" s="591"/>
      <c r="G6" s="591"/>
      <c r="H6" s="591"/>
      <c r="I6" s="591"/>
    </row>
    <row r="7" spans="2:16" ht="20.25">
      <c r="B7" s="7"/>
      <c r="D7" s="174"/>
      <c r="E7" s="174"/>
      <c r="F7" s="174"/>
      <c r="G7" s="174"/>
      <c r="H7" s="174"/>
      <c r="I7" s="174"/>
    </row>
    <row r="8" spans="2:16" ht="41.25" customHeight="1">
      <c r="B8" s="600" t="s">
        <v>225</v>
      </c>
      <c r="C8" s="601"/>
      <c r="D8" s="601"/>
      <c r="E8" s="601"/>
      <c r="F8" s="601"/>
      <c r="G8" s="601"/>
      <c r="H8" s="601"/>
      <c r="I8" s="601"/>
    </row>
    <row r="9" spans="2:16" ht="10.5" customHeight="1">
      <c r="B9" s="7"/>
      <c r="D9" s="174"/>
      <c r="E9" s="174"/>
      <c r="F9" s="174"/>
      <c r="G9" s="174"/>
      <c r="H9" s="174"/>
      <c r="I9" s="174"/>
    </row>
    <row r="10" spans="2:16" s="47" customFormat="1" ht="12">
      <c r="E10" s="255"/>
      <c r="H10" s="48"/>
    </row>
    <row r="11" spans="2:16" s="47" customFormat="1" ht="12.75">
      <c r="B11" s="47" t="s">
        <v>226</v>
      </c>
      <c r="H11" s="256"/>
      <c r="I11" s="257"/>
      <c r="L11" s="258"/>
      <c r="M11" s="259"/>
      <c r="N11" s="260"/>
      <c r="O11" s="261"/>
      <c r="P11" s="257"/>
    </row>
    <row r="12" spans="2:16" s="263" customFormat="1" ht="12.75">
      <c r="B12" s="262" t="s">
        <v>227</v>
      </c>
      <c r="C12" s="263" t="s">
        <v>228</v>
      </c>
      <c r="H12" s="264"/>
      <c r="I12" s="265"/>
      <c r="L12" s="266"/>
      <c r="M12" s="266"/>
      <c r="N12" s="260"/>
      <c r="O12" s="261"/>
      <c r="P12" s="265"/>
    </row>
    <row r="13" spans="2:16" s="47" customFormat="1" ht="12.75">
      <c r="B13" s="267" t="s">
        <v>229</v>
      </c>
      <c r="C13" s="47" t="s">
        <v>230</v>
      </c>
      <c r="G13" s="268"/>
      <c r="H13" s="269"/>
      <c r="I13" s="268"/>
      <c r="L13" s="268"/>
      <c r="M13" s="268"/>
      <c r="N13" s="268"/>
      <c r="O13" s="270"/>
      <c r="P13" s="268"/>
    </row>
    <row r="14" spans="2:16" s="47" customFormat="1" ht="12.75">
      <c r="B14" s="267"/>
      <c r="G14" s="268"/>
      <c r="H14" s="269"/>
      <c r="I14" s="268"/>
      <c r="L14" s="268"/>
      <c r="M14" s="268"/>
      <c r="N14" s="268"/>
      <c r="O14" s="270"/>
      <c r="P14" s="268"/>
    </row>
    <row r="15" spans="2:16" s="47" customFormat="1" ht="12.75">
      <c r="B15" s="47" t="s">
        <v>231</v>
      </c>
      <c r="G15" s="268"/>
      <c r="H15" s="269"/>
      <c r="I15" s="268"/>
      <c r="L15" s="268"/>
      <c r="M15" s="268"/>
      <c r="N15" s="268"/>
      <c r="O15" s="270"/>
      <c r="P15" s="268"/>
    </row>
    <row r="16" spans="2:16" s="47" customFormat="1" ht="12.75">
      <c r="B16" s="262" t="s">
        <v>227</v>
      </c>
      <c r="C16" s="47" t="s">
        <v>232</v>
      </c>
      <c r="G16" s="268"/>
      <c r="H16" s="269"/>
      <c r="I16" s="268"/>
      <c r="L16" s="268"/>
      <c r="M16" s="268"/>
      <c r="N16" s="268"/>
      <c r="O16" s="270"/>
      <c r="P16" s="268"/>
    </row>
    <row r="17" spans="2:16" s="47" customFormat="1" ht="12.75">
      <c r="B17" s="267" t="s">
        <v>229</v>
      </c>
      <c r="C17" s="47" t="s">
        <v>233</v>
      </c>
      <c r="G17" s="268"/>
      <c r="H17" s="269"/>
      <c r="I17" s="268"/>
      <c r="L17" s="268"/>
      <c r="M17" s="268"/>
      <c r="N17" s="268"/>
      <c r="O17" s="270"/>
      <c r="P17" s="268"/>
    </row>
    <row r="18" spans="2:16" s="47" customFormat="1" ht="12.75">
      <c r="B18" s="267"/>
      <c r="G18" s="268"/>
      <c r="H18" s="269"/>
      <c r="I18" s="268"/>
      <c r="L18" s="268"/>
      <c r="M18" s="268"/>
      <c r="N18" s="268"/>
      <c r="O18" s="270"/>
      <c r="P18" s="268"/>
    </row>
    <row r="19" spans="2:16" s="47" customFormat="1" ht="12.75">
      <c r="B19" s="268"/>
      <c r="C19" s="268"/>
      <c r="D19" s="268"/>
      <c r="E19" s="270"/>
      <c r="F19" s="271"/>
      <c r="G19" s="271"/>
      <c r="H19" s="272"/>
      <c r="I19" s="271"/>
    </row>
    <row r="20" spans="2:16" s="47" customFormat="1" ht="12.75">
      <c r="B20" s="268"/>
      <c r="C20" s="268"/>
      <c r="D20" s="268"/>
      <c r="E20" s="270"/>
      <c r="F20" s="271"/>
      <c r="G20" s="271"/>
      <c r="H20" s="272"/>
      <c r="I20" s="271"/>
    </row>
    <row r="21" spans="2:16" s="47" customFormat="1" ht="12.75">
      <c r="B21" s="49" t="s">
        <v>234</v>
      </c>
      <c r="C21" s="50"/>
      <c r="D21" s="50"/>
      <c r="E21" s="273"/>
      <c r="F21" s="51"/>
      <c r="G21" s="51"/>
      <c r="H21" s="52"/>
      <c r="I21" s="51"/>
    </row>
    <row r="22" spans="2:16" s="47" customFormat="1" ht="12.75">
      <c r="B22" s="49"/>
      <c r="C22" s="50"/>
      <c r="D22" s="50"/>
      <c r="E22" s="273"/>
      <c r="F22" s="51"/>
      <c r="G22" s="51"/>
      <c r="H22" s="52"/>
      <c r="I22" s="51"/>
    </row>
    <row r="23" spans="2:16">
      <c r="B23" s="274"/>
    </row>
  </sheetData>
  <sheetProtection selectLockedCells="1" selectUnlockedCells="1"/>
  <mergeCells count="4">
    <mergeCell ref="D4:I4"/>
    <mergeCell ref="C5:I5"/>
    <mergeCell ref="D6:I6"/>
    <mergeCell ref="B8:I8"/>
  </mergeCells>
  <hyperlinks>
    <hyperlink ref="B6" location="Содержание!A1" display="Содержание"/>
  </hyperlinks>
  <pageMargins left="0.19652777777777777" right="0.19652777777777777" top="0.19652777777777777" bottom="0.19652777777777777" header="0.51180555555555551" footer="0.51180555555555551"/>
  <pageSetup paperSize="9" scale="105"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2"/>
  <sheetViews>
    <sheetView view="pageBreakPreview" zoomScale="180" zoomScaleSheetLayoutView="180" workbookViewId="0">
      <selection activeCell="F27" sqref="F27"/>
    </sheetView>
  </sheetViews>
  <sheetFormatPr defaultColWidth="12.42578125" defaultRowHeight="15"/>
  <cols>
    <col min="1" max="1" width="2.5703125" style="17" customWidth="1"/>
    <col min="2" max="2" width="12" style="17" customWidth="1"/>
    <col min="3" max="4" width="10.7109375" style="17" customWidth="1"/>
    <col min="5" max="5" width="10.7109375" style="15" customWidth="1"/>
    <col min="6" max="7" width="10.7109375" style="17" customWidth="1"/>
    <col min="8" max="8" width="10.7109375" style="53" customWidth="1"/>
    <col min="9" max="9" width="13.7109375" style="17" customWidth="1"/>
    <col min="10" max="10" width="2.140625" style="17" customWidth="1"/>
    <col min="11" max="16384" width="12.42578125" style="17"/>
  </cols>
  <sheetData>
    <row r="2" spans="2:9">
      <c r="C2" s="30"/>
      <c r="D2" s="31"/>
      <c r="E2" s="13"/>
      <c r="F2" s="30"/>
      <c r="G2" s="30"/>
      <c r="H2" s="32"/>
      <c r="I2" s="30"/>
    </row>
    <row r="3" spans="2:9" ht="12">
      <c r="C3" s="30"/>
      <c r="D3" s="33"/>
      <c r="E3" s="14"/>
      <c r="F3" s="402"/>
      <c r="G3" s="402"/>
      <c r="H3" s="35"/>
      <c r="I3" s="402"/>
    </row>
    <row r="4" spans="2:9" ht="12.75" customHeight="1">
      <c r="C4" s="30"/>
      <c r="D4" s="555"/>
      <c r="E4" s="555"/>
      <c r="F4" s="555"/>
      <c r="G4" s="555"/>
      <c r="H4" s="555"/>
      <c r="I4" s="555"/>
    </row>
    <row r="5" spans="2:9" ht="12.75" customHeight="1">
      <c r="C5" s="556"/>
      <c r="D5" s="556"/>
      <c r="E5" s="556"/>
      <c r="F5" s="556"/>
      <c r="G5" s="556"/>
      <c r="H5" s="556"/>
      <c r="I5" s="556"/>
    </row>
    <row r="6" spans="2:9" ht="20.25">
      <c r="B6" s="7" t="s">
        <v>0</v>
      </c>
      <c r="D6" s="591"/>
      <c r="E6" s="591"/>
      <c r="F6" s="591"/>
      <c r="G6" s="591"/>
      <c r="H6" s="591"/>
      <c r="I6" s="591"/>
    </row>
    <row r="7" spans="2:9" ht="20.25">
      <c r="B7" s="7"/>
      <c r="D7" s="403"/>
      <c r="E7" s="403"/>
      <c r="F7" s="403"/>
      <c r="G7" s="403"/>
      <c r="H7" s="403"/>
      <c r="I7" s="403"/>
    </row>
    <row r="8" spans="2:9" ht="41.25" customHeight="1">
      <c r="B8" s="602" t="s">
        <v>256</v>
      </c>
      <c r="C8" s="602"/>
      <c r="D8" s="602"/>
      <c r="E8" s="602"/>
      <c r="F8" s="602"/>
      <c r="G8" s="602"/>
      <c r="H8" s="602"/>
      <c r="I8" s="405"/>
    </row>
    <row r="9" spans="2:9" ht="10.5" customHeight="1">
      <c r="B9" s="7"/>
      <c r="D9" s="403"/>
      <c r="E9" s="403"/>
      <c r="F9" s="403"/>
      <c r="G9" s="403"/>
      <c r="H9" s="403"/>
      <c r="I9" s="403"/>
    </row>
    <row r="10" spans="2:9" ht="10.5" customHeight="1">
      <c r="B10" s="276" t="s">
        <v>239</v>
      </c>
      <c r="D10" s="403"/>
      <c r="E10" s="403"/>
      <c r="F10" s="403"/>
      <c r="G10" s="403"/>
      <c r="H10" s="403"/>
      <c r="I10" s="403"/>
    </row>
    <row r="11" spans="2:9" s="27" customFormat="1" ht="15" customHeight="1">
      <c r="B11" s="603" t="s">
        <v>249</v>
      </c>
      <c r="C11" s="280" t="s">
        <v>237</v>
      </c>
      <c r="D11" s="605" t="s">
        <v>236</v>
      </c>
      <c r="E11" s="605"/>
      <c r="F11" s="605"/>
      <c r="G11" s="605"/>
      <c r="H11" s="605"/>
    </row>
    <row r="12" spans="2:9" s="275" customFormat="1" ht="11.25">
      <c r="B12" s="604"/>
      <c r="C12" s="281">
        <v>900</v>
      </c>
      <c r="D12" s="279">
        <v>1900</v>
      </c>
      <c r="E12" s="279">
        <v>2000</v>
      </c>
      <c r="F12" s="279">
        <v>2100</v>
      </c>
      <c r="G12" s="279">
        <v>2200</v>
      </c>
      <c r="H12" s="279">
        <v>2300</v>
      </c>
    </row>
    <row r="13" spans="2:9" ht="11.25">
      <c r="B13" s="282" t="s">
        <v>12</v>
      </c>
      <c r="C13" s="425">
        <v>0.1</v>
      </c>
      <c r="D13" s="426">
        <v>0.1</v>
      </c>
      <c r="E13" s="426">
        <v>0</v>
      </c>
      <c r="F13" s="426">
        <v>0.05</v>
      </c>
      <c r="G13" s="426">
        <v>0.2</v>
      </c>
      <c r="H13" s="426">
        <v>0.3</v>
      </c>
    </row>
    <row r="14" spans="2:9" ht="11.25">
      <c r="B14" s="282" t="s">
        <v>14</v>
      </c>
      <c r="C14" s="427"/>
      <c r="D14" s="428"/>
      <c r="E14" s="428"/>
      <c r="F14" s="428"/>
      <c r="G14" s="428"/>
      <c r="H14" s="428"/>
    </row>
    <row r="15" spans="2:9" ht="11.25">
      <c r="B15" s="282" t="s">
        <v>16</v>
      </c>
      <c r="C15" s="427"/>
      <c r="D15" s="428"/>
      <c r="E15" s="428"/>
      <c r="F15" s="428"/>
      <c r="G15" s="428"/>
      <c r="H15" s="428"/>
    </row>
    <row r="16" spans="2:9" ht="11.25">
      <c r="B16" s="282" t="s">
        <v>18</v>
      </c>
      <c r="C16" s="429"/>
      <c r="D16" s="430"/>
      <c r="E16" s="430"/>
      <c r="F16" s="430"/>
      <c r="G16" s="430"/>
      <c r="H16" s="430"/>
    </row>
    <row r="17" spans="2:8" s="47" customFormat="1" ht="12">
      <c r="E17" s="255"/>
      <c r="H17" s="48"/>
    </row>
    <row r="19" spans="2:8">
      <c r="B19" s="276" t="s">
        <v>240</v>
      </c>
    </row>
    <row r="20" spans="2:8" s="77" customFormat="1" ht="24" customHeight="1">
      <c r="B20" s="250"/>
      <c r="C20" s="606" t="s">
        <v>241</v>
      </c>
      <c r="D20" s="606"/>
      <c r="E20" s="606" t="s">
        <v>242</v>
      </c>
      <c r="F20" s="606"/>
      <c r="G20" s="606" t="s">
        <v>243</v>
      </c>
      <c r="H20" s="606"/>
    </row>
    <row r="21" spans="2:8" ht="11.25">
      <c r="B21" s="249" t="s">
        <v>12</v>
      </c>
      <c r="C21" s="607" t="s">
        <v>238</v>
      </c>
      <c r="D21" s="607"/>
      <c r="E21" s="607" t="s">
        <v>238</v>
      </c>
      <c r="F21" s="607"/>
      <c r="G21" s="607" t="s">
        <v>244</v>
      </c>
      <c r="H21" s="607"/>
    </row>
    <row r="22" spans="2:8" ht="11.25">
      <c r="B22" s="249" t="s">
        <v>14</v>
      </c>
      <c r="C22" s="607" t="s">
        <v>238</v>
      </c>
      <c r="D22" s="607"/>
      <c r="E22" s="607" t="s">
        <v>238</v>
      </c>
      <c r="F22" s="607"/>
      <c r="G22" s="607" t="s">
        <v>245</v>
      </c>
      <c r="H22" s="607"/>
    </row>
    <row r="23" spans="2:8" ht="11.25">
      <c r="B23" s="249" t="s">
        <v>16</v>
      </c>
      <c r="C23" s="607" t="s">
        <v>22</v>
      </c>
      <c r="D23" s="607"/>
      <c r="E23" s="607" t="s">
        <v>238</v>
      </c>
      <c r="F23" s="607"/>
      <c r="G23" s="607" t="s">
        <v>244</v>
      </c>
      <c r="H23" s="607"/>
    </row>
    <row r="24" spans="2:8" ht="11.25">
      <c r="B24" s="249" t="s">
        <v>18</v>
      </c>
      <c r="C24" s="607" t="s">
        <v>238</v>
      </c>
      <c r="D24" s="607"/>
      <c r="E24" s="607" t="s">
        <v>22</v>
      </c>
      <c r="F24" s="607"/>
      <c r="G24" s="607" t="s">
        <v>22</v>
      </c>
      <c r="H24" s="607"/>
    </row>
    <row r="25" spans="2:8" ht="11.25">
      <c r="E25" s="17"/>
    </row>
    <row r="26" spans="2:8">
      <c r="B26" s="276" t="s">
        <v>235</v>
      </c>
    </row>
    <row r="27" spans="2:8" s="284" customFormat="1" ht="15" customHeight="1">
      <c r="B27" s="404" t="s">
        <v>257</v>
      </c>
      <c r="C27" s="609" t="s">
        <v>248</v>
      </c>
      <c r="D27" s="609"/>
      <c r="E27" s="283"/>
      <c r="H27" s="285"/>
    </row>
    <row r="28" spans="2:8">
      <c r="B28" s="277" t="s">
        <v>12</v>
      </c>
      <c r="C28" s="608" t="s">
        <v>250</v>
      </c>
      <c r="D28" s="608"/>
      <c r="H28" s="17"/>
    </row>
    <row r="29" spans="2:8">
      <c r="B29" s="277" t="s">
        <v>14</v>
      </c>
      <c r="C29" s="608" t="s">
        <v>251</v>
      </c>
      <c r="D29" s="608"/>
      <c r="H29" s="17"/>
    </row>
    <row r="30" spans="2:8">
      <c r="B30" s="277" t="s">
        <v>16</v>
      </c>
      <c r="C30" s="608" t="s">
        <v>246</v>
      </c>
      <c r="D30" s="608"/>
      <c r="H30" s="17"/>
    </row>
    <row r="31" spans="2:8">
      <c r="B31" s="277" t="s">
        <v>18</v>
      </c>
      <c r="C31" s="608" t="s">
        <v>247</v>
      </c>
      <c r="D31" s="608"/>
      <c r="H31" s="17"/>
    </row>
    <row r="32" spans="2:8">
      <c r="B32" s="278"/>
    </row>
  </sheetData>
  <sheetProtection selectLockedCells="1" selectUnlockedCells="1"/>
  <mergeCells count="26">
    <mergeCell ref="C30:D30"/>
    <mergeCell ref="C31:D31"/>
    <mergeCell ref="C24:D24"/>
    <mergeCell ref="E24:F24"/>
    <mergeCell ref="G24:H24"/>
    <mergeCell ref="C27:D27"/>
    <mergeCell ref="C28:D28"/>
    <mergeCell ref="C29:D29"/>
    <mergeCell ref="C22:D22"/>
    <mergeCell ref="E22:F22"/>
    <mergeCell ref="G22:H22"/>
    <mergeCell ref="C23:D23"/>
    <mergeCell ref="E23:F23"/>
    <mergeCell ref="G23:H23"/>
    <mergeCell ref="C20:D20"/>
    <mergeCell ref="E20:F20"/>
    <mergeCell ref="G20:H20"/>
    <mergeCell ref="C21:D21"/>
    <mergeCell ref="E21:F21"/>
    <mergeCell ref="G21:H21"/>
    <mergeCell ref="D4:I4"/>
    <mergeCell ref="C5:I5"/>
    <mergeCell ref="D6:I6"/>
    <mergeCell ref="B8:H8"/>
    <mergeCell ref="B11:B12"/>
    <mergeCell ref="D11:H11"/>
  </mergeCells>
  <hyperlinks>
    <hyperlink ref="B6" location="Содержание!A1" display="Содержание"/>
  </hyperlinks>
  <pageMargins left="0.19652777777777777" right="0.19652777777777777" top="0.19652777777777777" bottom="0.19652777777777777" header="0.51180555555555551" footer="0.51180555555555551"/>
  <pageSetup paperSize="9" scale="105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17</vt:i4>
      </vt:variant>
    </vt:vector>
  </HeadingPairs>
  <TitlesOfParts>
    <vt:vector size="39" baseType="lpstr">
      <vt:lpstr>!!!НАЦЕНКИ</vt:lpstr>
      <vt:lpstr>Содержание</vt:lpstr>
      <vt:lpstr>Категории покрытий</vt:lpstr>
      <vt:lpstr>Наценки</vt:lpstr>
      <vt:lpstr>Серия E</vt:lpstr>
      <vt:lpstr>Серия R</vt:lpstr>
      <vt:lpstr>Серия Z</vt:lpstr>
      <vt:lpstr>Серия R_описание</vt:lpstr>
      <vt:lpstr>Описание Е-серии</vt:lpstr>
      <vt:lpstr>Серия F</vt:lpstr>
      <vt:lpstr>Серия FV</vt:lpstr>
      <vt:lpstr>Серия K</vt:lpstr>
      <vt:lpstr>Серия S</vt:lpstr>
      <vt:lpstr>Серия V</vt:lpstr>
      <vt:lpstr>Серия Р</vt:lpstr>
      <vt:lpstr>Погонаж стандарт</vt:lpstr>
      <vt:lpstr>Погонаж компланар </vt:lpstr>
      <vt:lpstr>Прочие элементы</vt:lpstr>
      <vt:lpstr>Склад_Грунт</vt:lpstr>
      <vt:lpstr>Склад_Эмаль</vt:lpstr>
      <vt:lpstr>ф</vt:lpstr>
      <vt:lpstr>Наценки на полотна</vt:lpstr>
      <vt:lpstr>'Наценки на полотна'!Область_печати</vt:lpstr>
      <vt:lpstr>'Описание Е-серии'!Область_печати</vt:lpstr>
      <vt:lpstr>'Погонаж компланар '!Область_печати</vt:lpstr>
      <vt:lpstr>'Погонаж стандарт'!Область_печати</vt:lpstr>
      <vt:lpstr>'Прочие элементы'!Область_печати</vt:lpstr>
      <vt:lpstr>'Серия E'!Область_печати</vt:lpstr>
      <vt:lpstr>'Серия F'!Область_печати</vt:lpstr>
      <vt:lpstr>'Серия FV'!Область_печати</vt:lpstr>
      <vt:lpstr>'Серия K'!Область_печати</vt:lpstr>
      <vt:lpstr>'Серия R'!Область_печати</vt:lpstr>
      <vt:lpstr>'Серия R_описание'!Область_печати</vt:lpstr>
      <vt:lpstr>'Серия S'!Область_печати</vt:lpstr>
      <vt:lpstr>'Серия V'!Область_печати</vt:lpstr>
      <vt:lpstr>'Серия Z'!Область_печати</vt:lpstr>
      <vt:lpstr>'Серия Р'!Область_печати</vt:lpstr>
      <vt:lpstr>Склад_Грунт!Область_печати</vt:lpstr>
      <vt:lpstr>Склад_Эмаль!Область_печати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2022-02-21T14:39:56Z</cp:lastPrinted>
  <dcterms:created xsi:type="dcterms:W3CDTF">2022-01-27T15:25:04Z</dcterms:created>
  <dcterms:modified xsi:type="dcterms:W3CDTF">2022-05-16T11:02:13Z</dcterms:modified>
</cp:coreProperties>
</file>