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Default Extension="wdp" ContentType="image/vnd.ms-photo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/>
  <bookViews>
    <workbookView xWindow="0" yWindow="0" windowWidth="23250" windowHeight="12765" tabRatio="953" activeTab="3"/>
  </bookViews>
  <sheets>
    <sheet name="скидки розница" sheetId="313" r:id="rId1"/>
    <sheet name="наценки РФ" sheetId="291" r:id="rId2"/>
    <sheet name="скидки_наценки" sheetId="199" r:id="rId3"/>
    <sheet name="изменения прайса" sheetId="308" r:id="rId4"/>
    <sheet name="Титул" sheetId="188" r:id="rId5"/>
    <sheet name="Содержание" sheetId="220" r:id="rId6"/>
    <sheet name="Полотна база" sheetId="294" state="hidden" r:id="rId7"/>
    <sheet name="Стекла_база" sheetId="356" state="hidden" r:id="rId8"/>
    <sheet name="Погонаж база" sheetId="295" state="hidden" r:id="rId9"/>
    <sheet name="Ал погонаж база " sheetId="369" state="hidden" r:id="rId10"/>
    <sheet name="Перегородки_база" sheetId="371" state="hidden" r:id="rId11"/>
    <sheet name="Перегородки стекла база" sheetId="361" state="hidden" r:id="rId12"/>
    <sheet name="Полотна опт" sheetId="366" state="hidden" r:id="rId13"/>
    <sheet name="Погонаж опт" sheetId="365" state="hidden" r:id="rId14"/>
    <sheet name="Комплекты опт" sheetId="364" state="hidden" r:id="rId15"/>
    <sheet name="Комплекты" sheetId="363" r:id="rId16"/>
    <sheet name="Комплекты на скрытом коробе" sheetId="368" r:id="rId17"/>
    <sheet name="Techno_Porte" sheetId="317" r:id="rId18"/>
    <sheet name="Techno_Slot" sheetId="351" r:id="rId19"/>
    <sheet name="Techno_Vetro" sheetId="192" r:id="rId20"/>
    <sheet name="Twist" sheetId="137" r:id="rId21"/>
    <sheet name="Standart" sheetId="190" r:id="rId22"/>
    <sheet name="Fusion_Plainе" sheetId="332" r:id="rId23"/>
    <sheet name="Fusion" sheetId="125" r:id="rId24"/>
    <sheet name="Eclectica_Stripe" sheetId="350" r:id="rId25"/>
    <sheet name="Elegance" sheetId="310" r:id="rId26"/>
    <sheet name="Modern Turin" sheetId="123" r:id="rId27"/>
    <sheet name="Modern Bergamo" sheetId="249" r:id="rId28"/>
    <sheet name="Eclectica_Belluno" sheetId="355" r:id="rId29"/>
    <sheet name="Neoclassic" sheetId="124" r:id="rId30"/>
    <sheet name="Provеnce Sienna" sheetId="236" r:id="rId31"/>
    <sheet name="Provеnce Savona" sheetId="367" r:id="rId32"/>
    <sheet name="Provеnce Amelia" sheetId="121" r:id="rId33"/>
    <sheet name="Design" sheetId="138" r:id="rId34"/>
    <sheet name="E-Design" sheetId="358" r:id="rId35"/>
    <sheet name="E-Classic" sheetId="122" r:id="rId36"/>
    <sheet name="Classic Rosso" sheetId="352" r:id="rId37"/>
    <sheet name="Classic Rimini " sheetId="235" r:id="rId38"/>
    <sheet name="Louver" sheetId="255" r:id="rId39"/>
    <sheet name="Grazia" sheetId="271" r:id="rId40"/>
    <sheet name="Corsa_Race" sheetId="270" r:id="rId41"/>
    <sheet name="Steel_Meta_Frame" sheetId="362" r:id="rId42"/>
    <sheet name="Скрытая дверь ОПТ" sheetId="347" state="hidden" r:id="rId43"/>
    <sheet name="Погонаж" sheetId="193" r:id="rId44"/>
    <sheet name="Алюм.погонаж" sheetId="335" r:id="rId45"/>
    <sheet name="Погонаж для прочих" sheetId="287" r:id="rId46"/>
    <sheet name="Стык.элементы" sheetId="245" r:id="rId47"/>
    <sheet name="Плинтусы" sheetId="253" r:id="rId48"/>
    <sheet name="Рейки" sheetId="254" r:id="rId49"/>
    <sheet name="Порталы" sheetId="194" r:id="rId50"/>
    <sheet name="Стен. панели" sheetId="197" r:id="rId51"/>
    <sheet name="Фрамуги_накладки" sheetId="312" r:id="rId52"/>
    <sheet name="Двери для обьектов" sheetId="336" r:id="rId53"/>
    <sheet name="Наценки за габариты" sheetId="357" r:id="rId54"/>
    <sheet name="Прочее наценки" sheetId="183" r:id="rId55"/>
    <sheet name="Покрытия_шпон_эмаль" sheetId="241" r:id="rId56"/>
    <sheet name="Рекламная продукция" sheetId="304" r:id="rId57"/>
  </sheets>
  <externalReferences>
    <externalReference r:id="rId58"/>
    <externalReference r:id="rId59"/>
    <externalReference r:id="rId60"/>
  </externalReferences>
  <definedNames>
    <definedName name="_xlnm._FilterDatabase" localSheetId="1" hidden="1">'наценки РФ'!$A$13:$H$87</definedName>
    <definedName name="Eclec" localSheetId="28">#REF!</definedName>
    <definedName name="Eclec" localSheetId="34">#REF!</definedName>
    <definedName name="Eclec" localSheetId="41">#REF!</definedName>
    <definedName name="Eclec" localSheetId="9">#REF!</definedName>
    <definedName name="Eclec" localSheetId="14">#REF!</definedName>
    <definedName name="Eclec" localSheetId="53">#REF!</definedName>
    <definedName name="Eclec" localSheetId="12">#REF!</definedName>
    <definedName name="Eclec">#REF!</definedName>
    <definedName name="Eclectica_Bel" localSheetId="28">#REF!</definedName>
    <definedName name="Eclectica_Bel" localSheetId="34">#REF!</definedName>
    <definedName name="Eclectica_Bel" localSheetId="41">#REF!</definedName>
    <definedName name="Eclectica_Bel" localSheetId="9">#REF!</definedName>
    <definedName name="Eclectica_Bel" localSheetId="14">#REF!</definedName>
    <definedName name="Eclectica_Bel" localSheetId="53">#REF!</definedName>
    <definedName name="Eclectica_Bel" localSheetId="12">#REF!</definedName>
    <definedName name="Eclectica_Bel">#REF!</definedName>
    <definedName name="Enamale" localSheetId="36">#REF!</definedName>
    <definedName name="Enamale" localSheetId="28">#REF!</definedName>
    <definedName name="Enamale" localSheetId="24">#REF!</definedName>
    <definedName name="Enamale" localSheetId="34">#REF!</definedName>
    <definedName name="Enamale" localSheetId="22">#REF!</definedName>
    <definedName name="Enamale" localSheetId="41">#REF!</definedName>
    <definedName name="Enamale" localSheetId="18">#REF!</definedName>
    <definedName name="Enamale" localSheetId="9">#REF!</definedName>
    <definedName name="Enamale" localSheetId="44">#REF!</definedName>
    <definedName name="Enamale" localSheetId="52">#REF!</definedName>
    <definedName name="Enamale" localSheetId="14">#REF!</definedName>
    <definedName name="Enamale" localSheetId="53">#REF!</definedName>
    <definedName name="Enamale" localSheetId="12">#REF!</definedName>
    <definedName name="Enamale" localSheetId="7">#REF!</definedName>
    <definedName name="Enamale">#REF!</definedName>
    <definedName name="Excel_BuiltIn__FilterDatabase_1" localSheetId="36">#REF!</definedName>
    <definedName name="Excel_BuiltIn__FilterDatabase_1" localSheetId="28">#REF!</definedName>
    <definedName name="Excel_BuiltIn__FilterDatabase_1" localSheetId="24">#REF!</definedName>
    <definedName name="Excel_BuiltIn__FilterDatabase_1" localSheetId="34">#REF!</definedName>
    <definedName name="Excel_BuiltIn__FilterDatabase_1" localSheetId="22">#REF!</definedName>
    <definedName name="Excel_BuiltIn__FilterDatabase_1" localSheetId="41">#REF!</definedName>
    <definedName name="Excel_BuiltIn__FilterDatabase_1" localSheetId="17">#REF!</definedName>
    <definedName name="Excel_BuiltIn__FilterDatabase_1" localSheetId="18">#REF!</definedName>
    <definedName name="Excel_BuiltIn__FilterDatabase_1" localSheetId="9">#REF!</definedName>
    <definedName name="Excel_BuiltIn__FilterDatabase_1" localSheetId="44">#REF!</definedName>
    <definedName name="Excel_BuiltIn__FilterDatabase_1" localSheetId="52">#REF!</definedName>
    <definedName name="Excel_BuiltIn__FilterDatabase_1" localSheetId="3">#REF!</definedName>
    <definedName name="Excel_BuiltIn__FilterDatabase_1" localSheetId="14">#REF!</definedName>
    <definedName name="Excel_BuiltIn__FilterDatabase_1" localSheetId="53">#REF!</definedName>
    <definedName name="Excel_BuiltIn__FilterDatabase_1" localSheetId="8">#REF!</definedName>
    <definedName name="Excel_BuiltIn__FilterDatabase_1" localSheetId="6">#REF!</definedName>
    <definedName name="Excel_BuiltIn__FilterDatabase_1" localSheetId="12">#REF!</definedName>
    <definedName name="Excel_BuiltIn__FilterDatabase_1" localSheetId="56">#REF!</definedName>
    <definedName name="Excel_BuiltIn__FilterDatabase_1" localSheetId="0">#REF!</definedName>
    <definedName name="Excel_BuiltIn__FilterDatabase_1" localSheetId="42">#REF!</definedName>
    <definedName name="Excel_BuiltIn__FilterDatabase_1" localSheetId="7">#REF!</definedName>
    <definedName name="Excel_BuiltIn__FilterDatabase_1" localSheetId="51">#REF!</definedName>
    <definedName name="Excel_BuiltIn__FilterDatabase_1">#REF!</definedName>
    <definedName name="Excel_BuiltIn_Print_Area_1_1" localSheetId="36">#REF!</definedName>
    <definedName name="Excel_BuiltIn_Print_Area_1_1" localSheetId="28">#REF!</definedName>
    <definedName name="Excel_BuiltIn_Print_Area_1_1" localSheetId="24">#REF!</definedName>
    <definedName name="Excel_BuiltIn_Print_Area_1_1" localSheetId="34">#REF!</definedName>
    <definedName name="Excel_BuiltIn_Print_Area_1_1" localSheetId="22">#REF!</definedName>
    <definedName name="Excel_BuiltIn_Print_Area_1_1" localSheetId="41">#REF!</definedName>
    <definedName name="Excel_BuiltIn_Print_Area_1_1" localSheetId="17">#REF!</definedName>
    <definedName name="Excel_BuiltIn_Print_Area_1_1" localSheetId="18">#REF!</definedName>
    <definedName name="Excel_BuiltIn_Print_Area_1_1" localSheetId="9">#REF!</definedName>
    <definedName name="Excel_BuiltIn_Print_Area_1_1" localSheetId="44">#REF!</definedName>
    <definedName name="Excel_BuiltIn_Print_Area_1_1" localSheetId="52">#REF!</definedName>
    <definedName name="Excel_BuiltIn_Print_Area_1_1" localSheetId="3">#REF!</definedName>
    <definedName name="Excel_BuiltIn_Print_Area_1_1" localSheetId="14">#REF!</definedName>
    <definedName name="Excel_BuiltIn_Print_Area_1_1" localSheetId="53">#REF!</definedName>
    <definedName name="Excel_BuiltIn_Print_Area_1_1" localSheetId="8">#REF!</definedName>
    <definedName name="Excel_BuiltIn_Print_Area_1_1" localSheetId="6">#REF!</definedName>
    <definedName name="Excel_BuiltIn_Print_Area_1_1" localSheetId="12">#REF!</definedName>
    <definedName name="Excel_BuiltIn_Print_Area_1_1" localSheetId="56">#REF!</definedName>
    <definedName name="Excel_BuiltIn_Print_Area_1_1" localSheetId="0">#REF!</definedName>
    <definedName name="Excel_BuiltIn_Print_Area_1_1" localSheetId="42">#REF!</definedName>
    <definedName name="Excel_BuiltIn_Print_Area_1_1" localSheetId="7">#REF!</definedName>
    <definedName name="Excel_BuiltIn_Print_Area_1_1" localSheetId="51">#REF!</definedName>
    <definedName name="Excel_BuiltIn_Print_Area_1_1">#REF!</definedName>
    <definedName name="Excel_BuiltIn_Print_Area_1_1_1" localSheetId="36">#REF!</definedName>
    <definedName name="Excel_BuiltIn_Print_Area_1_1_1" localSheetId="28">#REF!</definedName>
    <definedName name="Excel_BuiltIn_Print_Area_1_1_1" localSheetId="24">#REF!</definedName>
    <definedName name="Excel_BuiltIn_Print_Area_1_1_1" localSheetId="34">#REF!</definedName>
    <definedName name="Excel_BuiltIn_Print_Area_1_1_1" localSheetId="22">#REF!</definedName>
    <definedName name="Excel_BuiltIn_Print_Area_1_1_1" localSheetId="41">#REF!</definedName>
    <definedName name="Excel_BuiltIn_Print_Area_1_1_1" localSheetId="17">#REF!</definedName>
    <definedName name="Excel_BuiltIn_Print_Area_1_1_1" localSheetId="18">#REF!</definedName>
    <definedName name="Excel_BuiltIn_Print_Area_1_1_1" localSheetId="9">#REF!</definedName>
    <definedName name="Excel_BuiltIn_Print_Area_1_1_1" localSheetId="44">#REF!</definedName>
    <definedName name="Excel_BuiltIn_Print_Area_1_1_1" localSheetId="52">#REF!</definedName>
    <definedName name="Excel_BuiltIn_Print_Area_1_1_1" localSheetId="3">#REF!</definedName>
    <definedName name="Excel_BuiltIn_Print_Area_1_1_1" localSheetId="14">#REF!</definedName>
    <definedName name="Excel_BuiltIn_Print_Area_1_1_1" localSheetId="53">#REF!</definedName>
    <definedName name="Excel_BuiltIn_Print_Area_1_1_1" localSheetId="8">#REF!</definedName>
    <definedName name="Excel_BuiltIn_Print_Area_1_1_1" localSheetId="6">#REF!</definedName>
    <definedName name="Excel_BuiltIn_Print_Area_1_1_1" localSheetId="12">#REF!</definedName>
    <definedName name="Excel_BuiltIn_Print_Area_1_1_1" localSheetId="56">#REF!</definedName>
    <definedName name="Excel_BuiltIn_Print_Area_1_1_1" localSheetId="0">#REF!</definedName>
    <definedName name="Excel_BuiltIn_Print_Area_1_1_1" localSheetId="42">#REF!</definedName>
    <definedName name="Excel_BuiltIn_Print_Area_1_1_1" localSheetId="7">#REF!</definedName>
    <definedName name="Excel_BuiltIn_Print_Area_1_1_1" localSheetId="51">#REF!</definedName>
    <definedName name="Excel_BuiltIn_Print_Area_1_1_1">#REF!</definedName>
    <definedName name="Excel_BuiltIn_Print_Area_1_2" localSheetId="36">#REF!</definedName>
    <definedName name="Excel_BuiltIn_Print_Area_1_2" localSheetId="28">#REF!</definedName>
    <definedName name="Excel_BuiltIn_Print_Area_1_2" localSheetId="24">#REF!</definedName>
    <definedName name="Excel_BuiltIn_Print_Area_1_2" localSheetId="34">#REF!</definedName>
    <definedName name="Excel_BuiltIn_Print_Area_1_2" localSheetId="22">#REF!</definedName>
    <definedName name="Excel_BuiltIn_Print_Area_1_2" localSheetId="41">#REF!</definedName>
    <definedName name="Excel_BuiltIn_Print_Area_1_2" localSheetId="17">#REF!</definedName>
    <definedName name="Excel_BuiltIn_Print_Area_1_2" localSheetId="18">#REF!</definedName>
    <definedName name="Excel_BuiltIn_Print_Area_1_2" localSheetId="9">#REF!</definedName>
    <definedName name="Excel_BuiltIn_Print_Area_1_2" localSheetId="44">#REF!</definedName>
    <definedName name="Excel_BuiltIn_Print_Area_1_2" localSheetId="52">#REF!</definedName>
    <definedName name="Excel_BuiltIn_Print_Area_1_2" localSheetId="3">#REF!</definedName>
    <definedName name="Excel_BuiltIn_Print_Area_1_2" localSheetId="14">#REF!</definedName>
    <definedName name="Excel_BuiltIn_Print_Area_1_2" localSheetId="53">#REF!</definedName>
    <definedName name="Excel_BuiltIn_Print_Area_1_2" localSheetId="8">#REF!</definedName>
    <definedName name="Excel_BuiltIn_Print_Area_1_2" localSheetId="6">#REF!</definedName>
    <definedName name="Excel_BuiltIn_Print_Area_1_2" localSheetId="12">#REF!</definedName>
    <definedName name="Excel_BuiltIn_Print_Area_1_2" localSheetId="56">#REF!</definedName>
    <definedName name="Excel_BuiltIn_Print_Area_1_2" localSheetId="0">#REF!</definedName>
    <definedName name="Excel_BuiltIn_Print_Area_1_2" localSheetId="42">#REF!</definedName>
    <definedName name="Excel_BuiltIn_Print_Area_1_2" localSheetId="7">#REF!</definedName>
    <definedName name="Excel_BuiltIn_Print_Area_1_2" localSheetId="51">#REF!</definedName>
    <definedName name="Excel_BuiltIn_Print_Area_1_2">#REF!</definedName>
    <definedName name="Excel_BuiltIn_Print_Titles_1" localSheetId="36">#REF!</definedName>
    <definedName name="Excel_BuiltIn_Print_Titles_1" localSheetId="28">#REF!</definedName>
    <definedName name="Excel_BuiltIn_Print_Titles_1" localSheetId="24">#REF!</definedName>
    <definedName name="Excel_BuiltIn_Print_Titles_1" localSheetId="34">#REF!</definedName>
    <definedName name="Excel_BuiltIn_Print_Titles_1" localSheetId="22">#REF!</definedName>
    <definedName name="Excel_BuiltIn_Print_Titles_1" localSheetId="41">#REF!</definedName>
    <definedName name="Excel_BuiltIn_Print_Titles_1" localSheetId="17">#REF!</definedName>
    <definedName name="Excel_BuiltIn_Print_Titles_1" localSheetId="18">#REF!</definedName>
    <definedName name="Excel_BuiltIn_Print_Titles_1" localSheetId="9">#REF!</definedName>
    <definedName name="Excel_BuiltIn_Print_Titles_1" localSheetId="44">#REF!</definedName>
    <definedName name="Excel_BuiltIn_Print_Titles_1" localSheetId="52">#REF!</definedName>
    <definedName name="Excel_BuiltIn_Print_Titles_1" localSheetId="3">#REF!</definedName>
    <definedName name="Excel_BuiltIn_Print_Titles_1" localSheetId="14">#REF!</definedName>
    <definedName name="Excel_BuiltIn_Print_Titles_1" localSheetId="53">#REF!</definedName>
    <definedName name="Excel_BuiltIn_Print_Titles_1" localSheetId="8">#REF!</definedName>
    <definedName name="Excel_BuiltIn_Print_Titles_1" localSheetId="6">#REF!</definedName>
    <definedName name="Excel_BuiltIn_Print_Titles_1" localSheetId="12">#REF!</definedName>
    <definedName name="Excel_BuiltIn_Print_Titles_1" localSheetId="56">#REF!</definedName>
    <definedName name="Excel_BuiltIn_Print_Titles_1" localSheetId="0">#REF!</definedName>
    <definedName name="Excel_BuiltIn_Print_Titles_1" localSheetId="42">#REF!</definedName>
    <definedName name="Excel_BuiltIn_Print_Titles_1" localSheetId="7">#REF!</definedName>
    <definedName name="Excel_BuiltIn_Print_Titles_1" localSheetId="51">#REF!</definedName>
    <definedName name="Excel_BuiltIn_Print_Titles_1">#REF!</definedName>
    <definedName name="Excel_BuiltIn_Print_Titles_1_1" localSheetId="36">#REF!</definedName>
    <definedName name="Excel_BuiltIn_Print_Titles_1_1" localSheetId="28">#REF!</definedName>
    <definedName name="Excel_BuiltIn_Print_Titles_1_1" localSheetId="24">#REF!</definedName>
    <definedName name="Excel_BuiltIn_Print_Titles_1_1" localSheetId="34">#REF!</definedName>
    <definedName name="Excel_BuiltIn_Print_Titles_1_1" localSheetId="22">#REF!</definedName>
    <definedName name="Excel_BuiltIn_Print_Titles_1_1" localSheetId="41">#REF!</definedName>
    <definedName name="Excel_BuiltIn_Print_Titles_1_1" localSheetId="17">#REF!</definedName>
    <definedName name="Excel_BuiltIn_Print_Titles_1_1" localSheetId="18">#REF!</definedName>
    <definedName name="Excel_BuiltIn_Print_Titles_1_1" localSheetId="9">#REF!</definedName>
    <definedName name="Excel_BuiltIn_Print_Titles_1_1" localSheetId="44">#REF!</definedName>
    <definedName name="Excel_BuiltIn_Print_Titles_1_1" localSheetId="52">#REF!</definedName>
    <definedName name="Excel_BuiltIn_Print_Titles_1_1" localSheetId="3">#REF!</definedName>
    <definedName name="Excel_BuiltIn_Print_Titles_1_1" localSheetId="14">#REF!</definedName>
    <definedName name="Excel_BuiltIn_Print_Titles_1_1" localSheetId="53">#REF!</definedName>
    <definedName name="Excel_BuiltIn_Print_Titles_1_1" localSheetId="8">#REF!</definedName>
    <definedName name="Excel_BuiltIn_Print_Titles_1_1" localSheetId="6">#REF!</definedName>
    <definedName name="Excel_BuiltIn_Print_Titles_1_1" localSheetId="12">#REF!</definedName>
    <definedName name="Excel_BuiltIn_Print_Titles_1_1" localSheetId="56">#REF!</definedName>
    <definedName name="Excel_BuiltIn_Print_Titles_1_1" localSheetId="0">#REF!</definedName>
    <definedName name="Excel_BuiltIn_Print_Titles_1_1" localSheetId="42">#REF!</definedName>
    <definedName name="Excel_BuiltIn_Print_Titles_1_1" localSheetId="7">#REF!</definedName>
    <definedName name="Excel_BuiltIn_Print_Titles_1_1" localSheetId="51">#REF!</definedName>
    <definedName name="Excel_BuiltIn_Print_Titles_1_1">#REF!</definedName>
    <definedName name="ghh" localSheetId="28">#REF!</definedName>
    <definedName name="ghh" localSheetId="34">#REF!</definedName>
    <definedName name="ghh" localSheetId="41">#REF!</definedName>
    <definedName name="ghh" localSheetId="9">#REF!</definedName>
    <definedName name="ghh" localSheetId="14">#REF!</definedName>
    <definedName name="ghh" localSheetId="53">#REF!</definedName>
    <definedName name="ghh" localSheetId="12">#REF!</definedName>
    <definedName name="ghh">#REF!</definedName>
    <definedName name="New" localSheetId="28">#REF!</definedName>
    <definedName name="New" localSheetId="34">#REF!</definedName>
    <definedName name="New" localSheetId="41">#REF!</definedName>
    <definedName name="New" localSheetId="9">#REF!</definedName>
    <definedName name="New" localSheetId="14">#REF!</definedName>
    <definedName name="New" localSheetId="53">#REF!</definedName>
    <definedName name="New" localSheetId="12">#REF!</definedName>
    <definedName name="New">#REF!</definedName>
    <definedName name="Print_Area" localSheetId="37">'Classic Rimini '!$A$2:$K$105</definedName>
    <definedName name="Print_Area" localSheetId="36">'Classic Rosso'!$A$2:$N$33</definedName>
    <definedName name="Print_Area" localSheetId="40">Corsa_Race!$A$33:$C$33</definedName>
    <definedName name="Print_Area" localSheetId="33">Design!$A$1:$AA$11</definedName>
    <definedName name="Print_Area" localSheetId="35">'E-Classic'!$A$2:$K$21</definedName>
    <definedName name="Print_Area" localSheetId="28">Eclectica_Belluno!$A$1:$M$91</definedName>
    <definedName name="Print_Area" localSheetId="24">Eclectica_Stripe!$A$1:$M$25</definedName>
    <definedName name="Print_Area" localSheetId="34">'E-Design'!$A$1:$X$8</definedName>
    <definedName name="Print_Area" localSheetId="25">Elegance!$A$1:$R$26</definedName>
    <definedName name="Print_Area" localSheetId="23">Fusion!$A$1:$N$67</definedName>
    <definedName name="Print_Area" localSheetId="22">Fusion_Plainе!$A$1:$M$90</definedName>
    <definedName name="Print_Area" localSheetId="39">Grazia!$B$2:$D$38</definedName>
    <definedName name="Print_Area" localSheetId="38">Louver!$A$2:$I$7</definedName>
    <definedName name="Print_Area" localSheetId="27">'Modern Bergamo'!$A$1:$O$34</definedName>
    <definedName name="Print_Area" localSheetId="26">'Modern Turin'!$A$1:$O$34</definedName>
    <definedName name="Print_Area" localSheetId="29">Neoclassic!$A$1:$O$92</definedName>
    <definedName name="Print_Area" localSheetId="32">'Provеnce Amelia'!$A$1:$K$33</definedName>
    <definedName name="Print_Area" localSheetId="30">'Provеnce Sienna'!$A$1:$M$66</definedName>
    <definedName name="Print_Area" localSheetId="21">Standart!$A$2:$K$46</definedName>
    <definedName name="Print_Area" localSheetId="41">Steel_Meta_Frame!#REF!</definedName>
    <definedName name="Print_Area" localSheetId="17">Techno_Porte!$A$1:$M$48</definedName>
    <definedName name="Print_Area" localSheetId="18">Techno_Slot!$A$1:$M$41</definedName>
    <definedName name="Print_Area" localSheetId="19">Techno_Vetro!$A$1:$M$36</definedName>
    <definedName name="Print_Area" localSheetId="20">Twist!$A$1:$H$18</definedName>
    <definedName name="Print_Area" localSheetId="9">'Ал погонаж база '!$A$5:$D$49</definedName>
    <definedName name="Print_Area" localSheetId="44">Алюм.погонаж!$A$1:$F$17</definedName>
    <definedName name="Print_Area" localSheetId="52">'Двери для обьектов'!$A$2:$I$30</definedName>
    <definedName name="Print_Area" localSheetId="53">'Наценки за габариты'!$B$2:$J$60</definedName>
    <definedName name="Print_Area" localSheetId="47">Плинтусы!$A$29:$Q$37</definedName>
    <definedName name="Print_Area" localSheetId="43">Погонаж!$A$1:$Y$62</definedName>
    <definedName name="Print_Area" localSheetId="8">'Погонаж база'!$A$1:$AT$40</definedName>
    <definedName name="Print_Area" localSheetId="45">'Погонаж для прочих'!$A$1:$I$23</definedName>
    <definedName name="Print_Area" localSheetId="55">Покрытия_шпон_эмаль!$A$2:$E$60</definedName>
    <definedName name="Print_Area" localSheetId="49">Порталы!$A$2:$P$96</definedName>
    <definedName name="Print_Area" localSheetId="48">Рейки!$A$26:$M$36</definedName>
    <definedName name="Print_Area" localSheetId="56">'Рекламная продукция'!$B$1:$C$18</definedName>
    <definedName name="Print_Area" localSheetId="42">'Скрытая дверь ОПТ'!$A$1:$M$29</definedName>
    <definedName name="Print_Area" localSheetId="5">Содержание!$A$1:$J$40</definedName>
    <definedName name="Print_Area" localSheetId="50">'Стен. панели'!$A$2:$P$29</definedName>
    <definedName name="Print_Area" localSheetId="46">Стык.элементы!#REF!</definedName>
    <definedName name="Print_Area" localSheetId="4">Титул!$A$1:$Q$42</definedName>
    <definedName name="Print_Area" localSheetId="51">Фрамуги_накладки!$A$2:$I$29</definedName>
    <definedName name="А" localSheetId="28">#REF!</definedName>
    <definedName name="А" localSheetId="34">#REF!</definedName>
    <definedName name="А" localSheetId="41">#REF!</definedName>
    <definedName name="А" localSheetId="9">#REF!</definedName>
    <definedName name="А" localSheetId="14">#REF!</definedName>
    <definedName name="А" localSheetId="53">#REF!</definedName>
    <definedName name="А" localSheetId="12">#REF!</definedName>
    <definedName name="А">#REF!</definedName>
    <definedName name="амелия3">#REF!</definedName>
    <definedName name="апвп4" localSheetId="36">#REF!</definedName>
    <definedName name="апвп4" localSheetId="28">#REF!</definedName>
    <definedName name="апвп4" localSheetId="24">#REF!</definedName>
    <definedName name="апвп4" localSheetId="34">#REF!</definedName>
    <definedName name="апвп4" localSheetId="22">#REF!</definedName>
    <definedName name="апвп4" localSheetId="41">#REF!</definedName>
    <definedName name="апвп4" localSheetId="18">#REF!</definedName>
    <definedName name="апвп4" localSheetId="9">#REF!</definedName>
    <definedName name="апвп4" localSheetId="44">#REF!</definedName>
    <definedName name="апвп4" localSheetId="52">#REF!</definedName>
    <definedName name="апвп4" localSheetId="14">#REF!</definedName>
    <definedName name="апвп4" localSheetId="53">#REF!</definedName>
    <definedName name="апвп4" localSheetId="12">#REF!</definedName>
    <definedName name="апвп4" localSheetId="7">#REF!</definedName>
    <definedName name="апвп4">#REF!</definedName>
    <definedName name="Декоры" localSheetId="36">#REF!</definedName>
    <definedName name="Декоры" localSheetId="28">#REF!</definedName>
    <definedName name="Декоры" localSheetId="24">#REF!</definedName>
    <definedName name="Декоры" localSheetId="34">#REF!</definedName>
    <definedName name="Декоры" localSheetId="22">#REF!</definedName>
    <definedName name="Декоры" localSheetId="41">#REF!</definedName>
    <definedName name="Декоры" localSheetId="18">#REF!</definedName>
    <definedName name="Декоры" localSheetId="9">#REF!</definedName>
    <definedName name="Декоры" localSheetId="44">#REF!</definedName>
    <definedName name="Декоры" localSheetId="52">#REF!</definedName>
    <definedName name="Декоры" localSheetId="14">#REF!</definedName>
    <definedName name="Декоры" localSheetId="53">#REF!</definedName>
    <definedName name="Декоры" localSheetId="12">#REF!</definedName>
    <definedName name="Декоры" localSheetId="7">#REF!</definedName>
    <definedName name="Декоры">#REF!</definedName>
    <definedName name="Еми_АПАР_ми" localSheetId="36">#REF!</definedName>
    <definedName name="Еми_АПАР_ми" localSheetId="28">#REF!</definedName>
    <definedName name="Еми_АПАР_ми" localSheetId="24">#REF!</definedName>
    <definedName name="Еми_АПАР_ми" localSheetId="34">#REF!</definedName>
    <definedName name="Еми_АПАР_ми" localSheetId="22">#REF!</definedName>
    <definedName name="Еми_АПАР_ми" localSheetId="41">#REF!</definedName>
    <definedName name="Еми_АПАР_ми" localSheetId="17">#REF!</definedName>
    <definedName name="Еми_АПАР_ми" localSheetId="18">#REF!</definedName>
    <definedName name="Еми_АПАР_ми" localSheetId="9">#REF!</definedName>
    <definedName name="Еми_АПАР_ми" localSheetId="44">#REF!</definedName>
    <definedName name="Еми_АПАР_ми" localSheetId="52">#REF!</definedName>
    <definedName name="Еми_АПАР_ми" localSheetId="3">#REF!</definedName>
    <definedName name="Еми_АПАР_ми" localSheetId="14">#REF!</definedName>
    <definedName name="Еми_АПАР_ми" localSheetId="53">#REF!</definedName>
    <definedName name="Еми_АПАР_ми" localSheetId="8">#REF!</definedName>
    <definedName name="Еми_АПАР_ми" localSheetId="6">#REF!</definedName>
    <definedName name="Еми_АПАР_ми" localSheetId="12">#REF!</definedName>
    <definedName name="Еми_АПАР_ми" localSheetId="56">#REF!</definedName>
    <definedName name="Еми_АПАР_ми" localSheetId="0">#REF!</definedName>
    <definedName name="Еми_АПАР_ми" localSheetId="7">#REF!</definedName>
    <definedName name="Еми_АПАР_ми" localSheetId="51">#REF!</definedName>
    <definedName name="Еми_АПАР_ми">#REF!</definedName>
    <definedName name="_xlnm.Print_Titles" localSheetId="1">'наценки РФ'!$9:$13</definedName>
    <definedName name="К111111" localSheetId="36">#REF!</definedName>
    <definedName name="К111111" localSheetId="28">#REF!</definedName>
    <definedName name="К111111" localSheetId="24">#REF!</definedName>
    <definedName name="К111111" localSheetId="34">#REF!</definedName>
    <definedName name="К111111" localSheetId="22">#REF!</definedName>
    <definedName name="К111111" localSheetId="41">#REF!</definedName>
    <definedName name="К111111" localSheetId="18">#REF!</definedName>
    <definedName name="К111111" localSheetId="9">#REF!</definedName>
    <definedName name="К111111" localSheetId="44">#REF!</definedName>
    <definedName name="К111111" localSheetId="52">#REF!</definedName>
    <definedName name="К111111" localSheetId="14">#REF!</definedName>
    <definedName name="К111111" localSheetId="53">#REF!</definedName>
    <definedName name="К111111" localSheetId="12">#REF!</definedName>
    <definedName name="К111111" localSheetId="7">#REF!</definedName>
    <definedName name="К111111">#REF!</definedName>
    <definedName name="кува2" localSheetId="36">#REF!</definedName>
    <definedName name="кува2" localSheetId="28">#REF!</definedName>
    <definedName name="кува2" localSheetId="24">#REF!</definedName>
    <definedName name="кува2" localSheetId="34">#REF!</definedName>
    <definedName name="кува2" localSheetId="22">#REF!</definedName>
    <definedName name="кува2" localSheetId="41">#REF!</definedName>
    <definedName name="кува2" localSheetId="18">#REF!</definedName>
    <definedName name="кува2" localSheetId="9">#REF!</definedName>
    <definedName name="кува2" localSheetId="44">#REF!</definedName>
    <definedName name="кува2" localSheetId="52">#REF!</definedName>
    <definedName name="кува2" localSheetId="14">#REF!</definedName>
    <definedName name="кува2" localSheetId="53">#REF!</definedName>
    <definedName name="кува2" localSheetId="12">#REF!</definedName>
    <definedName name="кува2" localSheetId="7">#REF!</definedName>
    <definedName name="кува2">#REF!</definedName>
    <definedName name="кува4" localSheetId="36">#REF!</definedName>
    <definedName name="кува4" localSheetId="28">#REF!</definedName>
    <definedName name="кува4" localSheetId="24">#REF!</definedName>
    <definedName name="кува4" localSheetId="34">#REF!</definedName>
    <definedName name="кува4" localSheetId="22">#REF!</definedName>
    <definedName name="кува4" localSheetId="41">#REF!</definedName>
    <definedName name="кува4" localSheetId="18">#REF!</definedName>
    <definedName name="кува4" localSheetId="9">#REF!</definedName>
    <definedName name="кува4" localSheetId="44">#REF!</definedName>
    <definedName name="кува4" localSheetId="52">#REF!</definedName>
    <definedName name="кува4" localSheetId="14">#REF!</definedName>
    <definedName name="кува4" localSheetId="53">#REF!</definedName>
    <definedName name="кува4" localSheetId="12">#REF!</definedName>
    <definedName name="кува4" localSheetId="7">#REF!</definedName>
    <definedName name="кува4">#REF!</definedName>
    <definedName name="куыв3" localSheetId="36">#REF!</definedName>
    <definedName name="куыв3" localSheetId="28">#REF!</definedName>
    <definedName name="куыв3" localSheetId="24">#REF!</definedName>
    <definedName name="куыв3" localSheetId="34">#REF!</definedName>
    <definedName name="куыв3" localSheetId="22">#REF!</definedName>
    <definedName name="куыв3" localSheetId="41">#REF!</definedName>
    <definedName name="куыв3" localSheetId="18">#REF!</definedName>
    <definedName name="куыв3" localSheetId="9">#REF!</definedName>
    <definedName name="куыв3" localSheetId="44">#REF!</definedName>
    <definedName name="куыв3" localSheetId="52">#REF!</definedName>
    <definedName name="куыв3" localSheetId="14">#REF!</definedName>
    <definedName name="куыв3" localSheetId="53">#REF!</definedName>
    <definedName name="куыв3" localSheetId="12">#REF!</definedName>
    <definedName name="куыв3" localSheetId="7">#REF!</definedName>
    <definedName name="куыв3">#REF!</definedName>
    <definedName name="НОВОЕ" localSheetId="36">#REF!</definedName>
    <definedName name="НОВОЕ" localSheetId="28">#REF!</definedName>
    <definedName name="НОВОЕ" localSheetId="24">#REF!</definedName>
    <definedName name="НОВОЕ" localSheetId="34">#REF!</definedName>
    <definedName name="НОВОЕ" localSheetId="22">#REF!</definedName>
    <definedName name="НОВОЕ" localSheetId="41">#REF!</definedName>
    <definedName name="НОВОЕ" localSheetId="17">#REF!</definedName>
    <definedName name="НОВОЕ" localSheetId="18">#REF!</definedName>
    <definedName name="НОВОЕ" localSheetId="9">#REF!</definedName>
    <definedName name="НОВОЕ" localSheetId="44">#REF!</definedName>
    <definedName name="НОВОЕ" localSheetId="52">#REF!</definedName>
    <definedName name="НОВОЕ" localSheetId="3">#REF!</definedName>
    <definedName name="НОВОЕ" localSheetId="14">#REF!</definedName>
    <definedName name="НОВОЕ" localSheetId="53">#REF!</definedName>
    <definedName name="НОВОЕ" localSheetId="8">#REF!</definedName>
    <definedName name="НОВОЕ" localSheetId="6">#REF!</definedName>
    <definedName name="НОВОЕ" localSheetId="12">#REF!</definedName>
    <definedName name="НОВОЕ" localSheetId="56">#REF!</definedName>
    <definedName name="НОВОЕ" localSheetId="0">#REF!</definedName>
    <definedName name="НОВОЕ" localSheetId="7">#REF!</definedName>
    <definedName name="НОВОЕ" localSheetId="51">#REF!</definedName>
    <definedName name="НОВОЕ">#REF!</definedName>
    <definedName name="Новое_новое" localSheetId="28">#REF!</definedName>
    <definedName name="Новое_новое" localSheetId="34">#REF!</definedName>
    <definedName name="Новое_новое" localSheetId="41">#REF!</definedName>
    <definedName name="Новое_новое" localSheetId="9">#REF!</definedName>
    <definedName name="Новое_новое" localSheetId="14">#REF!</definedName>
    <definedName name="Новое_новое" localSheetId="53">#REF!</definedName>
    <definedName name="Новое_новое" localSheetId="12">#REF!</definedName>
    <definedName name="Новое_новое">#REF!</definedName>
    <definedName name="_xlnm.Print_Area" localSheetId="37">'Classic Rimini '!$A$2:$K$38</definedName>
    <definedName name="_xlnm.Print_Area" localSheetId="36">'Classic Rosso'!$A$2:$L$33</definedName>
    <definedName name="_xlnm.Print_Area" localSheetId="40">Corsa_Race!$A$2:$H$29</definedName>
    <definedName name="_xlnm.Print_Area" localSheetId="33">Design!$A$2:$L$39</definedName>
    <definedName name="_xlnm.Print_Area" localSheetId="35">'E-Classic'!$A$2:$N$36</definedName>
    <definedName name="_xlnm.Print_Area" localSheetId="28">Eclectica_Belluno!$A$2:$M$26</definedName>
    <definedName name="_xlnm.Print_Area" localSheetId="24">Eclectica_Stripe!$A$2:$L$25</definedName>
    <definedName name="_xlnm.Print_Area" localSheetId="34">'E-Design'!$A$2:$K$32</definedName>
    <definedName name="_xlnm.Print_Area" localSheetId="25">Elegance!$A$2:$M$25</definedName>
    <definedName name="_xlnm.Print_Area" localSheetId="23">Fusion!$A$2:$N$22</definedName>
    <definedName name="_xlnm.Print_Area" localSheetId="22">Fusion_Plainе!$A$2:$L$21</definedName>
    <definedName name="_xlnm.Print_Area" localSheetId="39">Grazia!$A$2:$G$33</definedName>
    <definedName name="_xlnm.Print_Area" localSheetId="38">Louver!$A$2:$I$6</definedName>
    <definedName name="_xlnm.Print_Area" localSheetId="27">'Modern Bergamo'!$A$2:$M$26</definedName>
    <definedName name="_xlnm.Print_Area" localSheetId="26">'Modern Turin'!$A$2:$L$26</definedName>
    <definedName name="_xlnm.Print_Area" localSheetId="29">Neoclassic!$A$2:$O$27</definedName>
    <definedName name="_xlnm.Print_Area" localSheetId="32">'Provеnce Amelia'!$A$2:$K$34</definedName>
    <definedName name="_xlnm.Print_Area" localSheetId="31">'Provеnce Savona'!$A$2:$L$8</definedName>
    <definedName name="_xlnm.Print_Area" localSheetId="30">'Provеnce Sienna'!$A$2:$Q$21</definedName>
    <definedName name="_xlnm.Print_Area" localSheetId="21">Standart!$A$2:$K$40</definedName>
    <definedName name="_xlnm.Print_Area" localSheetId="41">Steel_Meta_Frame!$A$2:$K$38</definedName>
    <definedName name="_xlnm.Print_Area" localSheetId="17">Techno_Porte!$A$2:$L$38</definedName>
    <definedName name="_xlnm.Print_Area" localSheetId="18">Techno_Slot!$A$2:$N$29</definedName>
    <definedName name="_xlnm.Print_Area" localSheetId="19">Techno_Vetro!$A$2:$O$29</definedName>
    <definedName name="_xlnm.Print_Area" localSheetId="20">Twist!$A$2:$J$40</definedName>
    <definedName name="_xlnm.Print_Area" localSheetId="9">'Ал погонаж база '!$A$5:$D$49</definedName>
    <definedName name="_xlnm.Print_Area" localSheetId="44">Алюм.погонаж!$A$2:$I$49</definedName>
    <definedName name="_xlnm.Print_Area" localSheetId="52">'Двери для обьектов'!$A$2:$I$21</definedName>
    <definedName name="_xlnm.Print_Area" localSheetId="3">'изменения прайса'!$A$2:$F$328</definedName>
    <definedName name="_xlnm.Print_Area" localSheetId="15">Комплекты!$A$2:$G$84</definedName>
    <definedName name="_xlnm.Print_Area" localSheetId="16">'Комплекты на скрытом коробе'!$A$3:$I$14</definedName>
    <definedName name="_xlnm.Print_Area" localSheetId="14">'Комплекты опт'!$A$2:$G$84</definedName>
    <definedName name="_xlnm.Print_Area" localSheetId="53">'Наценки за габариты'!$A$2:$I$71</definedName>
    <definedName name="_xlnm.Print_Area" localSheetId="47">Плинтусы!$A$2:$P$18</definedName>
    <definedName name="_xlnm.Print_Area" localSheetId="43">Погонаж!$A$2:$Y$55</definedName>
    <definedName name="_xlnm.Print_Area" localSheetId="8">'Погонаж база'!$A$1:$AT$40</definedName>
    <definedName name="_xlnm.Print_Area" localSheetId="45">'Погонаж для прочих'!$A$2:$I$23</definedName>
    <definedName name="_xlnm.Print_Area" localSheetId="55">Покрытия_шпон_эмаль!$A$2:$E$45</definedName>
    <definedName name="_xlnm.Print_Area" localSheetId="12">'Полотна опт'!$A$2:$G$84</definedName>
    <definedName name="_xlnm.Print_Area" localSheetId="49">Порталы!$A$2:$P$94</definedName>
    <definedName name="_xlnm.Print_Area" localSheetId="54">'Прочее наценки'!$A$2:$G$68</definedName>
    <definedName name="_xlnm.Print_Area" localSheetId="48">Рейки!$A$2:$J$22</definedName>
    <definedName name="_xlnm.Print_Area" localSheetId="56">'Рекламная продукция'!$A$2:$H$32</definedName>
    <definedName name="_xlnm.Print_Area" localSheetId="0">'скидки розница'!$A$2:$H$23</definedName>
    <definedName name="_xlnm.Print_Area" localSheetId="2">скидки_наценки!$A$1:$K$24</definedName>
    <definedName name="_xlnm.Print_Area" localSheetId="42">'Скрытая дверь ОПТ'!$A$1:$P$68</definedName>
    <definedName name="_xlnm.Print_Area" localSheetId="5">Содержание!$A$1:$J$39</definedName>
    <definedName name="_xlnm.Print_Area" localSheetId="50">'Стен. панели'!$A$2:$Q$87</definedName>
    <definedName name="_xlnm.Print_Area" localSheetId="46">Стык.элементы!$A$2:$Q$35</definedName>
    <definedName name="_xlnm.Print_Area" localSheetId="4">Титул!$A$1:$Q$41</definedName>
    <definedName name="_xlnm.Print_Area" localSheetId="51">Фрамуги_накладки!$A$2:$I$28</definedName>
    <definedName name="погонаж_до1марта" localSheetId="36">#REF!</definedName>
    <definedName name="погонаж_до1марта" localSheetId="28">#REF!</definedName>
    <definedName name="погонаж_до1марта" localSheetId="24">#REF!</definedName>
    <definedName name="погонаж_до1марта" localSheetId="34">#REF!</definedName>
    <definedName name="погонаж_до1марта" localSheetId="22">#REF!</definedName>
    <definedName name="погонаж_до1марта" localSheetId="41">#REF!</definedName>
    <definedName name="погонаж_до1марта" localSheetId="18">#REF!</definedName>
    <definedName name="погонаж_до1марта" localSheetId="9">#REF!</definedName>
    <definedName name="погонаж_до1марта" localSheetId="44">#REF!</definedName>
    <definedName name="погонаж_до1марта" localSheetId="52">#REF!</definedName>
    <definedName name="погонаж_до1марта" localSheetId="14">#REF!</definedName>
    <definedName name="погонаж_до1марта" localSheetId="53">#REF!</definedName>
    <definedName name="погонаж_до1марта" localSheetId="12">#REF!</definedName>
    <definedName name="погонаж_до1марта" localSheetId="7">#REF!</definedName>
    <definedName name="погонаж_до1марта">#REF!</definedName>
    <definedName name="полотна" localSheetId="34">#REF!</definedName>
    <definedName name="полотна" localSheetId="41">#REF!</definedName>
    <definedName name="полотна" localSheetId="9">#REF!</definedName>
    <definedName name="полотна" localSheetId="14">#REF!</definedName>
    <definedName name="полотна" localSheetId="53">#REF!</definedName>
    <definedName name="полотна" localSheetId="12">#REF!</definedName>
    <definedName name="полотна">#REF!</definedName>
    <definedName name="склад2" localSheetId="36">#REF!</definedName>
    <definedName name="склад2" localSheetId="28">#REF!</definedName>
    <definedName name="склад2" localSheetId="24">#REF!</definedName>
    <definedName name="склад2" localSheetId="34">#REF!</definedName>
    <definedName name="склад2" localSheetId="41">#REF!</definedName>
    <definedName name="склад2" localSheetId="18">#REF!</definedName>
    <definedName name="склад2" localSheetId="9">#REF!</definedName>
    <definedName name="склад2" localSheetId="44">#REF!</definedName>
    <definedName name="склад2" localSheetId="52">#REF!</definedName>
    <definedName name="склад2" localSheetId="14">#REF!</definedName>
    <definedName name="склад2" localSheetId="53">#REF!</definedName>
    <definedName name="склад2" localSheetId="12">#REF!</definedName>
    <definedName name="склад2" localSheetId="7">#REF!</definedName>
    <definedName name="склад2">#REF!</definedName>
    <definedName name="СкладскаяПрограмма" localSheetId="36">#REF!</definedName>
    <definedName name="СкладскаяПрограмма" localSheetId="28">#REF!</definedName>
    <definedName name="СкладскаяПрограмма" localSheetId="24">#REF!</definedName>
    <definedName name="СкладскаяПрограмма" localSheetId="34">#REF!</definedName>
    <definedName name="СкладскаяПрограмма" localSheetId="41">#REF!</definedName>
    <definedName name="СкладскаяПрограмма" localSheetId="18">#REF!</definedName>
    <definedName name="СкладскаяПрограмма" localSheetId="9">#REF!</definedName>
    <definedName name="СкладскаяПрограмма" localSheetId="44">#REF!</definedName>
    <definedName name="СкладскаяПрограмма" localSheetId="52">#REF!</definedName>
    <definedName name="СкладскаяПрограмма" localSheetId="14">#REF!</definedName>
    <definedName name="СкладскаяПрограмма" localSheetId="53">#REF!</definedName>
    <definedName name="СкладскаяПрограмма" localSheetId="12">#REF!</definedName>
    <definedName name="СкладскаяПрограмма" localSheetId="7">#REF!</definedName>
    <definedName name="СкладскаяПрограмма">#REF!</definedName>
    <definedName name="фурнитура22" localSheetId="36">#REF!</definedName>
    <definedName name="фурнитура22" localSheetId="28">#REF!</definedName>
    <definedName name="фурнитура22" localSheetId="24">#REF!</definedName>
    <definedName name="фурнитура22" localSheetId="34">#REF!</definedName>
    <definedName name="фурнитура22" localSheetId="22">#REF!</definedName>
    <definedName name="фурнитура22" localSheetId="41">#REF!</definedName>
    <definedName name="фурнитура22" localSheetId="18">#REF!</definedName>
    <definedName name="фурнитура22" localSheetId="9">#REF!</definedName>
    <definedName name="фурнитура22" localSheetId="44">#REF!</definedName>
    <definedName name="фурнитура22" localSheetId="52">#REF!</definedName>
    <definedName name="фурнитура22" localSheetId="14">#REF!</definedName>
    <definedName name="фурнитура22" localSheetId="53">#REF!</definedName>
    <definedName name="фурнитура22" localSheetId="12">#REF!</definedName>
    <definedName name="фурнитура22" localSheetId="7">#REF!</definedName>
    <definedName name="фурнитура22">#REF!</definedName>
    <definedName name="ыапва1" localSheetId="36">#REF!</definedName>
    <definedName name="ыапва1" localSheetId="28">#REF!</definedName>
    <definedName name="ыапва1" localSheetId="24">#REF!</definedName>
    <definedName name="ыапва1" localSheetId="34">#REF!</definedName>
    <definedName name="ыапва1" localSheetId="22">#REF!</definedName>
    <definedName name="ыапва1" localSheetId="41">#REF!</definedName>
    <definedName name="ыапва1" localSheetId="18">#REF!</definedName>
    <definedName name="ыапва1" localSheetId="9">#REF!</definedName>
    <definedName name="ыапва1" localSheetId="44">#REF!</definedName>
    <definedName name="ыапва1" localSheetId="52">#REF!</definedName>
    <definedName name="ыапва1" localSheetId="14">#REF!</definedName>
    <definedName name="ыапва1" localSheetId="53">#REF!</definedName>
    <definedName name="ыапва1" localSheetId="12">#REF!</definedName>
    <definedName name="ыапва1" localSheetId="7">#REF!</definedName>
    <definedName name="ыапва1">#REF!</definedName>
    <definedName name="ыва2" localSheetId="36">#REF!</definedName>
    <definedName name="ыва2" localSheetId="28">#REF!</definedName>
    <definedName name="ыва2" localSheetId="24">#REF!</definedName>
    <definedName name="ыва2" localSheetId="34">#REF!</definedName>
    <definedName name="ыва2" localSheetId="22">#REF!</definedName>
    <definedName name="ыва2" localSheetId="41">#REF!</definedName>
    <definedName name="ыва2" localSheetId="18">#REF!</definedName>
    <definedName name="ыва2" localSheetId="9">#REF!</definedName>
    <definedName name="ыва2" localSheetId="44">#REF!</definedName>
    <definedName name="ыва2" localSheetId="52">#REF!</definedName>
    <definedName name="ыва2" localSheetId="14">#REF!</definedName>
    <definedName name="ыва2" localSheetId="53">#REF!</definedName>
    <definedName name="ыва2" localSheetId="12">#REF!</definedName>
    <definedName name="ыва2" localSheetId="7">#REF!</definedName>
    <definedName name="ыва2">#REF!</definedName>
    <definedName name="Эклектика" localSheetId="28">#REF!</definedName>
    <definedName name="Эклектика" localSheetId="34">#REF!</definedName>
    <definedName name="Эклектика" localSheetId="41">#REF!</definedName>
    <definedName name="Эклектика" localSheetId="9">#REF!</definedName>
    <definedName name="Эклектика" localSheetId="14">#REF!</definedName>
    <definedName name="Эклектика" localSheetId="53">#REF!</definedName>
    <definedName name="Эклектика" localSheetId="12">#REF!</definedName>
    <definedName name="Эклектика">#REF!</definedName>
  </definedNames>
  <calcPr calcId="125725"/>
</workbook>
</file>

<file path=xl/calcChain.xml><?xml version="1.0" encoding="utf-8"?>
<calcChain xmlns="http://schemas.openxmlformats.org/spreadsheetml/2006/main">
  <c r="L22" i="125"/>
  <c r="L21"/>
  <c r="L19"/>
  <c r="L18"/>
  <c r="L17"/>
  <c r="L16"/>
  <c r="L15"/>
  <c r="E30" i="362"/>
  <c r="H9" i="352"/>
  <c r="H8"/>
  <c r="H7"/>
  <c r="H12" i="249" l="1"/>
  <c r="I12"/>
  <c r="J12"/>
  <c r="K12"/>
  <c r="L12"/>
  <c r="M12"/>
  <c r="H13"/>
  <c r="I13"/>
  <c r="J13"/>
  <c r="K13"/>
  <c r="L13"/>
  <c r="M13"/>
  <c r="H14"/>
  <c r="I14"/>
  <c r="J14"/>
  <c r="K14"/>
  <c r="L14"/>
  <c r="M14"/>
  <c r="G14"/>
  <c r="G13"/>
  <c r="G12"/>
  <c r="N35" i="369" l="1"/>
  <c r="M35"/>
  <c r="M14" s="1"/>
  <c r="N39"/>
  <c r="N38"/>
  <c r="N37"/>
  <c r="M38"/>
  <c r="M39" s="1"/>
  <c r="M37"/>
  <c r="E39"/>
  <c r="F39"/>
  <c r="G39"/>
  <c r="H39"/>
  <c r="I39"/>
  <c r="J39"/>
  <c r="K39"/>
  <c r="I24"/>
  <c r="I14"/>
  <c r="I15" s="1"/>
  <c r="I25" s="1"/>
  <c r="E14"/>
  <c r="G14" s="1"/>
  <c r="K14"/>
  <c r="K17" s="1"/>
  <c r="K18" s="1"/>
  <c r="D14"/>
  <c r="D16" s="1"/>
  <c r="L35"/>
  <c r="L38"/>
  <c r="L39" s="1"/>
  <c r="L37"/>
  <c r="L36"/>
  <c r="J34"/>
  <c r="H34"/>
  <c r="G34"/>
  <c r="F34"/>
  <c r="D38"/>
  <c r="D39" s="1"/>
  <c r="D37"/>
  <c r="D36"/>
  <c r="D26" l="1"/>
  <c r="M17"/>
  <c r="M15"/>
  <c r="M16"/>
  <c r="N14"/>
  <c r="D15"/>
  <c r="D17"/>
  <c r="M24"/>
  <c r="K28"/>
  <c r="K49"/>
  <c r="K16"/>
  <c r="K26" s="1"/>
  <c r="K15"/>
  <c r="G24"/>
  <c r="E24"/>
  <c r="I17"/>
  <c r="I16"/>
  <c r="F14"/>
  <c r="G17"/>
  <c r="G16"/>
  <c r="G15"/>
  <c r="I46"/>
  <c r="E17"/>
  <c r="E16"/>
  <c r="E15"/>
  <c r="K48"/>
  <c r="K27"/>
  <c r="K45"/>
  <c r="K24"/>
  <c r="I45"/>
  <c r="F24"/>
  <c r="G45"/>
  <c r="H14"/>
  <c r="L14"/>
  <c r="F45"/>
  <c r="E45"/>
  <c r="J14"/>
  <c r="I18" l="1"/>
  <c r="K47"/>
  <c r="D25"/>
  <c r="N16"/>
  <c r="N17"/>
  <c r="N15"/>
  <c r="K25"/>
  <c r="D18"/>
  <c r="M18"/>
  <c r="N48"/>
  <c r="M46"/>
  <c r="M25"/>
  <c r="M48"/>
  <c r="M27"/>
  <c r="M47"/>
  <c r="M26"/>
  <c r="E18"/>
  <c r="L24"/>
  <c r="L16"/>
  <c r="L15"/>
  <c r="L17"/>
  <c r="L18" s="1"/>
  <c r="G18"/>
  <c r="H15"/>
  <c r="H16"/>
  <c r="H17"/>
  <c r="K46"/>
  <c r="F15"/>
  <c r="F16"/>
  <c r="F17"/>
  <c r="F27" s="1"/>
  <c r="J24"/>
  <c r="J15"/>
  <c r="J16"/>
  <c r="J17"/>
  <c r="J18" s="1"/>
  <c r="D27"/>
  <c r="G47"/>
  <c r="G26"/>
  <c r="G48"/>
  <c r="G27"/>
  <c r="E47"/>
  <c r="E26"/>
  <c r="I48"/>
  <c r="I27"/>
  <c r="E48"/>
  <c r="E27"/>
  <c r="I47"/>
  <c r="I26"/>
  <c r="G46"/>
  <c r="G25"/>
  <c r="E46"/>
  <c r="E25"/>
  <c r="F47"/>
  <c r="F48"/>
  <c r="H45"/>
  <c r="H24"/>
  <c r="J45"/>
  <c r="L45"/>
  <c r="I28" l="1"/>
  <c r="N47"/>
  <c r="F26"/>
  <c r="H18"/>
  <c r="I49"/>
  <c r="N18"/>
  <c r="N49" s="1"/>
  <c r="D49"/>
  <c r="D28"/>
  <c r="N46"/>
  <c r="M28"/>
  <c r="M49"/>
  <c r="J49"/>
  <c r="J28"/>
  <c r="G49"/>
  <c r="G28"/>
  <c r="F18"/>
  <c r="L49"/>
  <c r="L28"/>
  <c r="H49"/>
  <c r="E28"/>
  <c r="E49"/>
  <c r="F46"/>
  <c r="F25"/>
  <c r="J46"/>
  <c r="J25"/>
  <c r="J47"/>
  <c r="J26"/>
  <c r="J48"/>
  <c r="J27"/>
  <c r="L46"/>
  <c r="L25"/>
  <c r="L47"/>
  <c r="L26"/>
  <c r="L48"/>
  <c r="L27"/>
  <c r="H48"/>
  <c r="H27"/>
  <c r="H47"/>
  <c r="H26"/>
  <c r="H46"/>
  <c r="H25"/>
  <c r="H28" l="1"/>
  <c r="F28"/>
  <c r="F49"/>
  <c r="D47" l="1"/>
  <c r="D48"/>
  <c r="D45"/>
  <c r="D46"/>
  <c r="E11" i="371"/>
  <c r="G19"/>
  <c r="D65" i="294"/>
  <c r="V4" i="365"/>
  <c r="G2" i="366" s="1"/>
  <c r="U4" i="365"/>
  <c r="F2" i="366" s="1"/>
  <c r="T4" i="365"/>
  <c r="E2" i="366" s="1"/>
  <c r="S4" i="365"/>
  <c r="D2" i="366" s="1"/>
  <c r="H4" i="365"/>
  <c r="O2" i="366" s="1"/>
  <c r="G4" i="365"/>
  <c r="N2" i="366" s="1"/>
  <c r="F4" i="365"/>
  <c r="M2" i="366" s="1"/>
  <c r="E4" i="365"/>
  <c r="L2" i="366" s="1"/>
  <c r="C4" i="365"/>
  <c r="J2" i="366" s="1"/>
  <c r="G34" i="361" l="1"/>
  <c r="H34" s="1"/>
  <c r="G33"/>
  <c r="H33" s="1"/>
  <c r="F33"/>
  <c r="F32"/>
  <c r="G32" s="1"/>
  <c r="H32" s="1"/>
  <c r="F31"/>
  <c r="G31" s="1"/>
  <c r="H31" s="1"/>
  <c r="F30"/>
  <c r="G30" s="1"/>
  <c r="H30" s="1"/>
  <c r="F29"/>
  <c r="G29" s="1"/>
  <c r="H29" s="1"/>
  <c r="G28"/>
  <c r="H28" s="1"/>
  <c r="F27"/>
  <c r="G27" s="1"/>
  <c r="H27" s="1"/>
  <c r="F26"/>
  <c r="G26" s="1"/>
  <c r="H26" s="1"/>
  <c r="G25"/>
  <c r="H25" s="1"/>
  <c r="F24"/>
  <c r="G24" s="1"/>
  <c r="H24" s="1"/>
  <c r="F23"/>
  <c r="G23" s="1"/>
  <c r="H23" s="1"/>
  <c r="G22"/>
  <c r="H22" s="1"/>
  <c r="F21"/>
  <c r="G21" s="1"/>
  <c r="H21" s="1"/>
  <c r="F20"/>
  <c r="G20" s="1"/>
  <c r="H20" s="1"/>
  <c r="G19"/>
  <c r="H19" s="1"/>
  <c r="F17"/>
  <c r="G17" s="1"/>
  <c r="H17" s="1"/>
  <c r="F15"/>
  <c r="F16" s="1"/>
  <c r="G16" s="1"/>
  <c r="H16" s="1"/>
  <c r="F11"/>
  <c r="F14" s="1"/>
  <c r="G14" s="1"/>
  <c r="H14" s="1"/>
  <c r="F10"/>
  <c r="G10" s="1"/>
  <c r="H10" s="1"/>
  <c r="F9"/>
  <c r="G9" s="1"/>
  <c r="H9" s="1"/>
  <c r="F8"/>
  <c r="G8" s="1"/>
  <c r="H8" s="1"/>
  <c r="G7"/>
  <c r="F2" s="1"/>
  <c r="F3" s="1"/>
  <c r="H3" i="371"/>
  <c r="B12" i="271"/>
  <c r="B9"/>
  <c r="C11"/>
  <c r="C12"/>
  <c r="C13"/>
  <c r="B6"/>
  <c r="C7"/>
  <c r="C15" s="1"/>
  <c r="C8"/>
  <c r="C16" s="1"/>
  <c r="C9"/>
  <c r="C10"/>
  <c r="C6"/>
  <c r="C14" s="1"/>
  <c r="C7" i="270"/>
  <c r="B14"/>
  <c r="B7"/>
  <c r="C8"/>
  <c r="C9"/>
  <c r="C10"/>
  <c r="C11"/>
  <c r="C12"/>
  <c r="C13"/>
  <c r="C14"/>
  <c r="C15"/>
  <c r="C16"/>
  <c r="F11" i="371"/>
  <c r="F13" s="1"/>
  <c r="F16" s="1"/>
  <c r="D15" i="362"/>
  <c r="D14"/>
  <c r="D13"/>
  <c r="D12"/>
  <c r="D11"/>
  <c r="D10"/>
  <c r="D9"/>
  <c r="D8"/>
  <c r="D7"/>
  <c r="D6"/>
  <c r="E12" i="371"/>
  <c r="E15" s="1"/>
  <c r="E17"/>
  <c r="E13"/>
  <c r="E16" s="1"/>
  <c r="BR27" i="295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CU30"/>
  <c r="DJ30"/>
  <c r="DN30"/>
  <c r="DS30"/>
  <c r="DT30"/>
  <c r="DY30"/>
  <c r="DZ30"/>
  <c r="BU31"/>
  <c r="BV31"/>
  <c r="BW31"/>
  <c r="BX31"/>
  <c r="CE31"/>
  <c r="CU31"/>
  <c r="DJ31"/>
  <c r="DL31"/>
  <c r="DM31"/>
  <c r="DN31"/>
  <c r="DO31"/>
  <c r="DS31"/>
  <c r="DT31"/>
  <c r="DU31"/>
  <c r="DV31"/>
  <c r="DW31"/>
  <c r="DX31"/>
  <c r="EA31"/>
  <c r="CE32"/>
  <c r="CU32"/>
  <c r="DJ32"/>
  <c r="DN32"/>
  <c r="DS32"/>
  <c r="DT32"/>
  <c r="DU32"/>
  <c r="DV32"/>
  <c r="DW32"/>
  <c r="DX32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CU34"/>
  <c r="DJ34"/>
  <c r="DN34"/>
  <c r="DO34"/>
  <c r="DQ34"/>
  <c r="DR34"/>
  <c r="DS34"/>
  <c r="DT34"/>
  <c r="DU34"/>
  <c r="DV34"/>
  <c r="DW34"/>
  <c r="DX34"/>
  <c r="DY34"/>
  <c r="DZ34"/>
  <c r="ED34"/>
  <c r="E27"/>
  <c r="F27"/>
  <c r="G27"/>
  <c r="H27"/>
  <c r="I27"/>
  <c r="J27"/>
  <c r="K27"/>
  <c r="L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I27"/>
  <c r="BJ27"/>
  <c r="BK27"/>
  <c r="BL27"/>
  <c r="BM27"/>
  <c r="BN27"/>
  <c r="BO27"/>
  <c r="BP27"/>
  <c r="BQ27"/>
  <c r="G28"/>
  <c r="H28"/>
  <c r="R28"/>
  <c r="S28"/>
  <c r="T28"/>
  <c r="U28"/>
  <c r="V28"/>
  <c r="W28"/>
  <c r="X28"/>
  <c r="Y28"/>
  <c r="AB28"/>
  <c r="AD28"/>
  <c r="AE28"/>
  <c r="AF28"/>
  <c r="AG28"/>
  <c r="AM28"/>
  <c r="AN28"/>
  <c r="AO28"/>
  <c r="AP28"/>
  <c r="AQ28"/>
  <c r="AR28"/>
  <c r="BD28"/>
  <c r="BE28"/>
  <c r="BF28"/>
  <c r="BG28"/>
  <c r="BH28"/>
  <c r="BM28"/>
  <c r="BN28"/>
  <c r="BO28"/>
  <c r="BP28"/>
  <c r="BQ28"/>
  <c r="G29"/>
  <c r="H29"/>
  <c r="R29"/>
  <c r="S29"/>
  <c r="T29"/>
  <c r="U29"/>
  <c r="V29"/>
  <c r="W29"/>
  <c r="X29"/>
  <c r="Y29"/>
  <c r="AB29"/>
  <c r="AD29"/>
  <c r="AE29"/>
  <c r="AF29"/>
  <c r="AG29"/>
  <c r="AM29"/>
  <c r="AN29"/>
  <c r="AO29"/>
  <c r="AP29"/>
  <c r="AQ29"/>
  <c r="AR29"/>
  <c r="BD29"/>
  <c r="BE29"/>
  <c r="BF29"/>
  <c r="BG29"/>
  <c r="BH29"/>
  <c r="BM29"/>
  <c r="BN29"/>
  <c r="BO29"/>
  <c r="BP29"/>
  <c r="BQ29"/>
  <c r="H31"/>
  <c r="R31"/>
  <c r="S31"/>
  <c r="U31"/>
  <c r="V31"/>
  <c r="W31"/>
  <c r="X31"/>
  <c r="Y31"/>
  <c r="AD31"/>
  <c r="AE31"/>
  <c r="AM31"/>
  <c r="BD31"/>
  <c r="BE31"/>
  <c r="BF31"/>
  <c r="H32"/>
  <c r="R32"/>
  <c r="S32"/>
  <c r="U32"/>
  <c r="V32"/>
  <c r="W32"/>
  <c r="X32"/>
  <c r="Y32"/>
  <c r="AD32"/>
  <c r="AE32"/>
  <c r="AM32"/>
  <c r="BD32"/>
  <c r="BE32"/>
  <c r="BF32"/>
  <c r="H33"/>
  <c r="R33"/>
  <c r="S33"/>
  <c r="T33"/>
  <c r="U33"/>
  <c r="V33"/>
  <c r="W33"/>
  <c r="X33"/>
  <c r="Y33"/>
  <c r="AD33"/>
  <c r="AE33"/>
  <c r="AG33"/>
  <c r="AM33"/>
  <c r="AN33"/>
  <c r="AO33"/>
  <c r="AP33"/>
  <c r="AQ33"/>
  <c r="AR33"/>
  <c r="BD33"/>
  <c r="BE33"/>
  <c r="BF33"/>
  <c r="BI33"/>
  <c r="BQ33"/>
  <c r="H34"/>
  <c r="R34"/>
  <c r="S34"/>
  <c r="U34"/>
  <c r="V34"/>
  <c r="W34"/>
  <c r="X34"/>
  <c r="Y34"/>
  <c r="AD34"/>
  <c r="AE34"/>
  <c r="AG34"/>
  <c r="AM34"/>
  <c r="AN34"/>
  <c r="AO34"/>
  <c r="AP34"/>
  <c r="AQ34"/>
  <c r="AR34"/>
  <c r="BD34"/>
  <c r="BE34"/>
  <c r="BF34"/>
  <c r="BI34"/>
  <c r="D27"/>
  <c r="BI15"/>
  <c r="BI39" s="1"/>
  <c r="AS15"/>
  <c r="AS39" s="1"/>
  <c r="L4"/>
  <c r="K4"/>
  <c r="D15"/>
  <c r="D39" s="1"/>
  <c r="F12" i="361" l="1"/>
  <c r="G12" s="1"/>
  <c r="H12" s="1"/>
  <c r="F35"/>
  <c r="G35" s="1"/>
  <c r="H35" s="1"/>
  <c r="D30" i="295"/>
  <c r="M15"/>
  <c r="M30" s="1"/>
  <c r="AS30"/>
  <c r="F12" i="371"/>
  <c r="F15" s="1"/>
  <c r="F18"/>
  <c r="F17"/>
  <c r="F14"/>
  <c r="G15" i="361"/>
  <c r="H15" s="1"/>
  <c r="F18"/>
  <c r="G18" s="1"/>
  <c r="H18" s="1"/>
  <c r="H7"/>
  <c r="F13"/>
  <c r="G13" s="1"/>
  <c r="H13" s="1"/>
  <c r="G11"/>
  <c r="H11" s="1"/>
  <c r="E14" i="371"/>
  <c r="E18"/>
  <c r="BI30" i="295"/>
  <c r="BJ15"/>
  <c r="BJ30" s="1"/>
  <c r="F15"/>
  <c r="F30" s="1"/>
  <c r="L15"/>
  <c r="D18"/>
  <c r="D33" s="1"/>
  <c r="H15"/>
  <c r="H30" s="1"/>
  <c r="J15"/>
  <c r="J30" s="1"/>
  <c r="G15"/>
  <c r="G30" s="1"/>
  <c r="K15"/>
  <c r="K30" s="1"/>
  <c r="E15"/>
  <c r="D16"/>
  <c r="D31" s="1"/>
  <c r="D17"/>
  <c r="D32" s="1"/>
  <c r="M19" l="1"/>
  <c r="M18"/>
  <c r="G2" i="361"/>
  <c r="G3" s="1"/>
  <c r="E39" i="295"/>
  <c r="E30"/>
  <c r="L13"/>
  <c r="L28" s="1"/>
  <c r="L30"/>
  <c r="DI15"/>
  <c r="DI30" s="1"/>
  <c r="BJ39"/>
  <c r="E18"/>
  <c r="E33" s="1"/>
  <c r="BK15"/>
  <c r="BK30" s="1"/>
  <c r="F16"/>
  <c r="F31" s="1"/>
  <c r="F39"/>
  <c r="BM15"/>
  <c r="BM30" s="1"/>
  <c r="AX15"/>
  <c r="AX30" s="1"/>
  <c r="AT15"/>
  <c r="BQ15"/>
  <c r="BQ30" s="1"/>
  <c r="AH15"/>
  <c r="AH30" s="1"/>
  <c r="N15"/>
  <c r="N30" s="1"/>
  <c r="Z15"/>
  <c r="Z30" s="1"/>
  <c r="E14"/>
  <c r="E29" s="1"/>
  <c r="E17"/>
  <c r="E32" s="1"/>
  <c r="E19"/>
  <c r="E34" s="1"/>
  <c r="E13"/>
  <c r="E28" s="1"/>
  <c r="E16"/>
  <c r="E31" s="1"/>
  <c r="D24" i="369"/>
  <c r="BN15" i="295" l="1"/>
  <c r="BN30" s="1"/>
  <c r="AT39"/>
  <c r="AT30"/>
  <c r="BM39"/>
  <c r="BG15"/>
  <c r="BG30" s="1"/>
  <c r="BK39"/>
  <c r="BL15"/>
  <c r="BL30" s="1"/>
  <c r="P15"/>
  <c r="P30" s="1"/>
  <c r="AY15"/>
  <c r="AY30" s="1"/>
  <c r="BA15"/>
  <c r="BA30" s="1"/>
  <c r="AX39"/>
  <c r="BR15"/>
  <c r="BR30" s="1"/>
  <c r="BY15"/>
  <c r="BY30" s="1"/>
  <c r="CF15"/>
  <c r="CF30" s="1"/>
  <c r="BU15"/>
  <c r="BU30" s="1"/>
  <c r="BQ39"/>
  <c r="AJ15"/>
  <c r="AJ30" s="1"/>
  <c r="AH39"/>
  <c r="AW15"/>
  <c r="AW30" s="1"/>
  <c r="AN15"/>
  <c r="AN30" s="1"/>
  <c r="AI15"/>
  <c r="AI30" s="1"/>
  <c r="O15"/>
  <c r="O30" s="1"/>
  <c r="AB15"/>
  <c r="AB30" s="1"/>
  <c r="AA15"/>
  <c r="AA30" s="1"/>
  <c r="AC15"/>
  <c r="AC30" s="1"/>
  <c r="R15" l="1"/>
  <c r="R30" s="1"/>
  <c r="BN39"/>
  <c r="BL39"/>
  <c r="BA39"/>
  <c r="AF15"/>
  <c r="AF30" s="1"/>
  <c r="BP15"/>
  <c r="BP30" s="1"/>
  <c r="CF39"/>
  <c r="CN15"/>
  <c r="CN30" s="1"/>
  <c r="AW39"/>
  <c r="AZ15"/>
  <c r="AZ30" s="1"/>
  <c r="BG39"/>
  <c r="BO15"/>
  <c r="BO30" s="1"/>
  <c r="AP15"/>
  <c r="AP30" s="1"/>
  <c r="AO15"/>
  <c r="AO30" s="1"/>
  <c r="AR15"/>
  <c r="AR30" s="1"/>
  <c r="BV15"/>
  <c r="BV30" s="1"/>
  <c r="CG15"/>
  <c r="CG30" s="1"/>
  <c r="BZ15"/>
  <c r="BS15"/>
  <c r="BS30" s="1"/>
  <c r="BR39"/>
  <c r="CJ15"/>
  <c r="CJ30" s="1"/>
  <c r="BU39"/>
  <c r="AV15"/>
  <c r="AL15"/>
  <c r="AI39"/>
  <c r="AQ15"/>
  <c r="AQ30" s="1"/>
  <c r="Q15"/>
  <c r="AK15"/>
  <c r="AK30" s="1"/>
  <c r="AY39"/>
  <c r="BB15"/>
  <c r="BB30" s="1"/>
  <c r="T15"/>
  <c r="T30" s="1"/>
  <c r="V15"/>
  <c r="V30" s="1"/>
  <c r="A9" i="294"/>
  <c r="A10"/>
  <c r="A11"/>
  <c r="A12"/>
  <c r="A13"/>
  <c r="A8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AH7"/>
  <c r="AF7"/>
  <c r="AG7"/>
  <c r="AI7"/>
  <c r="AA7"/>
  <c r="AB7"/>
  <c r="AC7"/>
  <c r="AD7"/>
  <c r="AE7"/>
  <c r="U7"/>
  <c r="V7"/>
  <c r="W7"/>
  <c r="X7"/>
  <c r="Y7"/>
  <c r="Z7"/>
  <c r="L7"/>
  <c r="M7"/>
  <c r="N7"/>
  <c r="O7"/>
  <c r="P7"/>
  <c r="Q7"/>
  <c r="R7"/>
  <c r="S7"/>
  <c r="T7"/>
  <c r="J7"/>
  <c r="K7"/>
  <c r="I7"/>
  <c r="AA19"/>
  <c r="AA21"/>
  <c r="AA22"/>
  <c r="AA23"/>
  <c r="AA24"/>
  <c r="AA70" s="1"/>
  <c r="BG8"/>
  <c r="BE9"/>
  <c r="BD9"/>
  <c r="BC9"/>
  <c r="BA11"/>
  <c r="AU9"/>
  <c r="AT9"/>
  <c r="AL11"/>
  <c r="AK9"/>
  <c r="AH9"/>
  <c r="AG9"/>
  <c r="AF9"/>
  <c r="AD11"/>
  <c r="AD9"/>
  <c r="Y9"/>
  <c r="X9"/>
  <c r="W9"/>
  <c r="V9"/>
  <c r="U9"/>
  <c r="Q13"/>
  <c r="S13" s="1"/>
  <c r="S9"/>
  <c r="R9"/>
  <c r="Q9"/>
  <c r="L11"/>
  <c r="L9"/>
  <c r="H9"/>
  <c r="H8" s="1"/>
  <c r="H11"/>
  <c r="H10" s="1"/>
  <c r="S15" i="295" l="1"/>
  <c r="S30" s="1"/>
  <c r="AZ39"/>
  <c r="BC15"/>
  <c r="BC30" s="1"/>
  <c r="CO15"/>
  <c r="CO30" s="1"/>
  <c r="BZ30"/>
  <c r="Q39"/>
  <c r="Q30"/>
  <c r="AV39"/>
  <c r="AV30"/>
  <c r="AL39"/>
  <c r="AL30"/>
  <c r="BB39"/>
  <c r="CJ39"/>
  <c r="BO39"/>
  <c r="BD15"/>
  <c r="CG39"/>
  <c r="U15"/>
  <c r="AD15" s="1"/>
  <c r="AD30" s="1"/>
  <c r="BP39"/>
  <c r="BC39"/>
  <c r="Q13"/>
  <c r="Q28" s="1"/>
  <c r="AM15"/>
  <c r="AM30" s="1"/>
  <c r="BT15"/>
  <c r="BT30" s="1"/>
  <c r="CH15"/>
  <c r="CH30" s="1"/>
  <c r="CA15"/>
  <c r="CA30" s="1"/>
  <c r="BW15"/>
  <c r="BW30" s="1"/>
  <c r="BS39"/>
  <c r="BV39"/>
  <c r="CK15"/>
  <c r="W15"/>
  <c r="W30" s="1"/>
  <c r="X15"/>
  <c r="X30" s="1"/>
  <c r="Y15"/>
  <c r="Y30" s="1"/>
  <c r="AA9" i="294"/>
  <c r="AA20" s="1"/>
  <c r="AA66" s="1"/>
  <c r="D52" i="183"/>
  <c r="D53"/>
  <c r="D54"/>
  <c r="DG15" i="295" l="1"/>
  <c r="DG30" s="1"/>
  <c r="CK39"/>
  <c r="CK30"/>
  <c r="CV15"/>
  <c r="CV30" s="1"/>
  <c r="U30"/>
  <c r="BD39"/>
  <c r="BD30"/>
  <c r="CH39"/>
  <c r="AE15"/>
  <c r="AE30" s="1"/>
  <c r="DB15"/>
  <c r="DB30" s="1"/>
  <c r="BF15"/>
  <c r="BE15"/>
  <c r="BW39"/>
  <c r="CL15"/>
  <c r="CP15"/>
  <c r="CP30" s="1"/>
  <c r="CE15"/>
  <c r="CE30" s="1"/>
  <c r="BT39"/>
  <c r="CI15"/>
  <c r="CI30" s="1"/>
  <c r="BX15"/>
  <c r="BX30" s="1"/>
  <c r="AA31" i="294"/>
  <c r="B13" i="362"/>
  <c r="CZ15" i="295" l="1"/>
  <c r="CZ30" s="1"/>
  <c r="BE39"/>
  <c r="BE30"/>
  <c r="BF39"/>
  <c r="BF30"/>
  <c r="CW15"/>
  <c r="CW30" s="1"/>
  <c r="CL39"/>
  <c r="CL30"/>
  <c r="CX15"/>
  <c r="CX30" s="1"/>
  <c r="CI39"/>
  <c r="DC15"/>
  <c r="DC30" s="1"/>
  <c r="CM15"/>
  <c r="BX39"/>
  <c r="CE39"/>
  <c r="CT15"/>
  <c r="DD15" l="1"/>
  <c r="DE15" s="1"/>
  <c r="DE30" s="1"/>
  <c r="CY15"/>
  <c r="CY30" s="1"/>
  <c r="DA15"/>
  <c r="DA30" s="1"/>
  <c r="CT39"/>
  <c r="CT30"/>
  <c r="CM39"/>
  <c r="CM30"/>
  <c r="J5" i="356"/>
  <c r="DD30" i="295" l="1"/>
  <c r="DF15"/>
  <c r="DF30" s="1"/>
  <c r="DH15"/>
  <c r="DH30" s="1"/>
  <c r="S6" i="356"/>
  <c r="S7"/>
  <c r="S8"/>
  <c r="S5"/>
  <c r="CV39" i="295" l="1"/>
  <c r="D79" i="356" l="1"/>
  <c r="F79" s="1"/>
  <c r="D81"/>
  <c r="G81" s="1"/>
  <c r="E81"/>
  <c r="E80"/>
  <c r="D80"/>
  <c r="F80" s="1"/>
  <c r="E79"/>
  <c r="C48"/>
  <c r="C49" s="1"/>
  <c r="BB11" i="294"/>
  <c r="G79" i="356" l="1"/>
  <c r="F81"/>
  <c r="G80"/>
  <c r="G42" i="335"/>
  <c r="G37"/>
  <c r="G33"/>
  <c r="G26"/>
  <c r="H79" i="356" l="1"/>
  <c r="BG13" i="294" l="1"/>
  <c r="BF13"/>
  <c r="BE13"/>
  <c r="BA13"/>
  <c r="BC13" s="1"/>
  <c r="AZ13"/>
  <c r="AY13"/>
  <c r="AX13"/>
  <c r="AW13"/>
  <c r="AV13"/>
  <c r="AU13"/>
  <c r="AT13"/>
  <c r="AL13"/>
  <c r="AM13" s="1"/>
  <c r="AK13"/>
  <c r="AD13"/>
  <c r="AI13" s="1"/>
  <c r="AC13"/>
  <c r="AB13"/>
  <c r="Z13"/>
  <c r="Y13"/>
  <c r="X13"/>
  <c r="W13"/>
  <c r="V13"/>
  <c r="U13"/>
  <c r="T13"/>
  <c r="L13"/>
  <c r="M13" s="1"/>
  <c r="H13"/>
  <c r="BG12"/>
  <c r="BF12"/>
  <c r="BE12"/>
  <c r="BA12"/>
  <c r="BC12" s="1"/>
  <c r="AZ12"/>
  <c r="AY12"/>
  <c r="AX12"/>
  <c r="AW12"/>
  <c r="AV12"/>
  <c r="AU12"/>
  <c r="AT12"/>
  <c r="AL12"/>
  <c r="AM12" s="1"/>
  <c r="AK12"/>
  <c r="AC12"/>
  <c r="AB12"/>
  <c r="Z12"/>
  <c r="Y12"/>
  <c r="X12"/>
  <c r="W12"/>
  <c r="V12"/>
  <c r="U12"/>
  <c r="T12"/>
  <c r="S12"/>
  <c r="R12"/>
  <c r="Q12"/>
  <c r="L12"/>
  <c r="M12" s="1"/>
  <c r="H12"/>
  <c r="BD11"/>
  <c r="BC11"/>
  <c r="AM11"/>
  <c r="AF11"/>
  <c r="AJ11" s="1"/>
  <c r="AE11"/>
  <c r="M11"/>
  <c r="K11"/>
  <c r="J11"/>
  <c r="I11"/>
  <c r="BG10"/>
  <c r="BF10"/>
  <c r="BE10"/>
  <c r="BA10"/>
  <c r="AZ10"/>
  <c r="AY10"/>
  <c r="AX10"/>
  <c r="AW10"/>
  <c r="AV10"/>
  <c r="AU10"/>
  <c r="AT10"/>
  <c r="AL10"/>
  <c r="AM10" s="1"/>
  <c r="AK10"/>
  <c r="AD10"/>
  <c r="AI10" s="1"/>
  <c r="AC10"/>
  <c r="AB10"/>
  <c r="Z10"/>
  <c r="Y10"/>
  <c r="X10"/>
  <c r="W10"/>
  <c r="V10"/>
  <c r="U10"/>
  <c r="T10"/>
  <c r="S10"/>
  <c r="R10"/>
  <c r="Q10"/>
  <c r="L10"/>
  <c r="M10" s="1"/>
  <c r="AW9"/>
  <c r="AY9" s="1"/>
  <c r="AZ9" s="1"/>
  <c r="AV9"/>
  <c r="BF9" s="1"/>
  <c r="AC9"/>
  <c r="AB9"/>
  <c r="T9"/>
  <c r="M9"/>
  <c r="K9"/>
  <c r="J9"/>
  <c r="I9"/>
  <c r="I31" s="1"/>
  <c r="Z9" l="1"/>
  <c r="AE10"/>
  <c r="BB13"/>
  <c r="AN10"/>
  <c r="AO10"/>
  <c r="AP10" s="1"/>
  <c r="BD10"/>
  <c r="BB10"/>
  <c r="AN11"/>
  <c r="AO11"/>
  <c r="AP11" s="1"/>
  <c r="K10"/>
  <c r="AJ10"/>
  <c r="I12"/>
  <c r="I13"/>
  <c r="BC10"/>
  <c r="BD12"/>
  <c r="BB12"/>
  <c r="BD13"/>
  <c r="AX9"/>
  <c r="AI11"/>
  <c r="AF10"/>
  <c r="AG10" s="1"/>
  <c r="AG11"/>
  <c r="AH11" s="1"/>
  <c r="AH10" s="1"/>
  <c r="AF13"/>
  <c r="AG13" s="1"/>
  <c r="AO12"/>
  <c r="AP12" s="1"/>
  <c r="AN12"/>
  <c r="AN13"/>
  <c r="AO13"/>
  <c r="AP13" s="1"/>
  <c r="J10"/>
  <c r="AJ13"/>
  <c r="I10"/>
  <c r="K12"/>
  <c r="K13"/>
  <c r="AE13"/>
  <c r="J13"/>
  <c r="J12"/>
  <c r="S35"/>
  <c r="BG30"/>
  <c r="L31"/>
  <c r="Q31"/>
  <c r="R31"/>
  <c r="S31"/>
  <c r="U31"/>
  <c r="V31"/>
  <c r="W31"/>
  <c r="Y31"/>
  <c r="AD31"/>
  <c r="AF31"/>
  <c r="AG31"/>
  <c r="AH31"/>
  <c r="AK31"/>
  <c r="AT31"/>
  <c r="AU31"/>
  <c r="BC31"/>
  <c r="BD31"/>
  <c r="BE31"/>
  <c r="L33"/>
  <c r="AD33"/>
  <c r="AL33"/>
  <c r="BA33"/>
  <c r="Q35"/>
  <c r="H31"/>
  <c r="H33"/>
  <c r="D30"/>
  <c r="S59"/>
  <c r="R59"/>
  <c r="Q59"/>
  <c r="AJ58"/>
  <c r="AI58"/>
  <c r="AH58"/>
  <c r="AG58"/>
  <c r="AF58"/>
  <c r="AE58"/>
  <c r="AD58"/>
  <c r="BG57"/>
  <c r="BF57"/>
  <c r="BE57"/>
  <c r="BA57"/>
  <c r="AZ57"/>
  <c r="AY57"/>
  <c r="AX57"/>
  <c r="AW57"/>
  <c r="AV57"/>
  <c r="AU57"/>
  <c r="AT57"/>
  <c r="AL57"/>
  <c r="AK57"/>
  <c r="AD57"/>
  <c r="AC57"/>
  <c r="AB57"/>
  <c r="Z57"/>
  <c r="Y57"/>
  <c r="X57"/>
  <c r="W57"/>
  <c r="V57"/>
  <c r="U57"/>
  <c r="T57"/>
  <c r="S57"/>
  <c r="R57"/>
  <c r="Q57"/>
  <c r="L57"/>
  <c r="H57"/>
  <c r="BG55"/>
  <c r="BE55"/>
  <c r="BD55"/>
  <c r="BC55"/>
  <c r="BB55"/>
  <c r="BA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Y55"/>
  <c r="W55"/>
  <c r="V55"/>
  <c r="U55"/>
  <c r="S55"/>
  <c r="R55"/>
  <c r="Q55"/>
  <c r="L55"/>
  <c r="H55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Z54"/>
  <c r="Y54"/>
  <c r="X54"/>
  <c r="W54"/>
  <c r="V54"/>
  <c r="U54"/>
  <c r="T54"/>
  <c r="S54"/>
  <c r="R54"/>
  <c r="Q54"/>
  <c r="M54"/>
  <c r="L54"/>
  <c r="K54"/>
  <c r="J54"/>
  <c r="I54"/>
  <c r="D54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BG59"/>
  <c r="BF59"/>
  <c r="BE59"/>
  <c r="BD59"/>
  <c r="AZ59"/>
  <c r="AY59"/>
  <c r="AX59"/>
  <c r="AW59"/>
  <c r="AV59"/>
  <c r="AU59"/>
  <c r="AT59"/>
  <c r="AK59"/>
  <c r="AD59"/>
  <c r="AC59"/>
  <c r="AB59"/>
  <c r="Z59"/>
  <c r="Y59"/>
  <c r="X59"/>
  <c r="W59"/>
  <c r="V59"/>
  <c r="U59"/>
  <c r="BG58"/>
  <c r="BF58"/>
  <c r="BE58"/>
  <c r="AZ58"/>
  <c r="AY58"/>
  <c r="AX58"/>
  <c r="AW58"/>
  <c r="AV58"/>
  <c r="AU58"/>
  <c r="AT58"/>
  <c r="AL58"/>
  <c r="AK58"/>
  <c r="AC58"/>
  <c r="AB58"/>
  <c r="Z58"/>
  <c r="Y58"/>
  <c r="X58"/>
  <c r="W58"/>
  <c r="V58"/>
  <c r="U58"/>
  <c r="T58"/>
  <c r="S58"/>
  <c r="R58"/>
  <c r="Q58"/>
  <c r="L58"/>
  <c r="H58"/>
  <c r="BD57"/>
  <c r="BB57"/>
  <c r="AF57"/>
  <c r="M57"/>
  <c r="K57"/>
  <c r="I57"/>
  <c r="BG56"/>
  <c r="BF56"/>
  <c r="BE56"/>
  <c r="BA56"/>
  <c r="AZ56"/>
  <c r="AY56"/>
  <c r="AX56"/>
  <c r="AW56"/>
  <c r="AV56"/>
  <c r="AU56"/>
  <c r="AT56"/>
  <c r="AK56"/>
  <c r="AC56"/>
  <c r="AB56"/>
  <c r="Z56"/>
  <c r="Y56"/>
  <c r="X56"/>
  <c r="W56"/>
  <c r="V56"/>
  <c r="U56"/>
  <c r="T56"/>
  <c r="S56"/>
  <c r="R56"/>
  <c r="Q56"/>
  <c r="L56"/>
  <c r="H56"/>
  <c r="AY55"/>
  <c r="AB55"/>
  <c r="K55"/>
  <c r="I55"/>
  <c r="N16" i="192"/>
  <c r="K15"/>
  <c r="AH13" i="294" l="1"/>
  <c r="I56"/>
  <c r="BF55"/>
  <c r="M56"/>
  <c r="BB56"/>
  <c r="AG57"/>
  <c r="BB59"/>
  <c r="AV55"/>
  <c r="BA58"/>
  <c r="H30"/>
  <c r="AJ56"/>
  <c r="AI57"/>
  <c r="AF59"/>
  <c r="AR13"/>
  <c r="AQ13"/>
  <c r="AS13" s="1"/>
  <c r="AR12"/>
  <c r="AQ12"/>
  <c r="AS12" s="1"/>
  <c r="AR10"/>
  <c r="AQ10"/>
  <c r="AS10" s="1"/>
  <c r="AQ11"/>
  <c r="AS11" s="1"/>
  <c r="AR11"/>
  <c r="AN57"/>
  <c r="AX55"/>
  <c r="O57"/>
  <c r="O54"/>
  <c r="O55"/>
  <c r="AI56"/>
  <c r="O58"/>
  <c r="M55"/>
  <c r="T55"/>
  <c r="X55"/>
  <c r="AC55"/>
  <c r="AW55"/>
  <c r="AD56"/>
  <c r="AL56"/>
  <c r="J57"/>
  <c r="AE57"/>
  <c r="AM57"/>
  <c r="BC57"/>
  <c r="BD58"/>
  <c r="H59"/>
  <c r="L59"/>
  <c r="T59"/>
  <c r="BA59"/>
  <c r="H54"/>
  <c r="J55"/>
  <c r="Z55"/>
  <c r="K56"/>
  <c r="AF56"/>
  <c r="BD56"/>
  <c r="AL59"/>
  <c r="H34" i="193"/>
  <c r="AO57" i="294" l="1"/>
  <c r="J58"/>
  <c r="BB58"/>
  <c r="AH57"/>
  <c r="BC58"/>
  <c r="J56"/>
  <c r="I59"/>
  <c r="AP57"/>
  <c r="J59"/>
  <c r="AM59"/>
  <c r="BC56"/>
  <c r="O56"/>
  <c r="AM58"/>
  <c r="AJ57"/>
  <c r="P55"/>
  <c r="O59"/>
  <c r="BC59"/>
  <c r="K59"/>
  <c r="AE59"/>
  <c r="I58"/>
  <c r="AE56"/>
  <c r="AJ59"/>
  <c r="M59"/>
  <c r="AZ55"/>
  <c r="AI59"/>
  <c r="M58"/>
  <c r="AM56"/>
  <c r="AG59"/>
  <c r="K58"/>
  <c r="AG56"/>
  <c r="AH56" l="1"/>
  <c r="AH59"/>
  <c r="AO58"/>
  <c r="AN59"/>
  <c r="AO56"/>
  <c r="P56"/>
  <c r="P59"/>
  <c r="AO59"/>
  <c r="N55"/>
  <c r="P58"/>
  <c r="AQ57"/>
  <c r="AN56"/>
  <c r="P54"/>
  <c r="P57"/>
  <c r="AN58"/>
  <c r="AR57"/>
  <c r="K21" i="121"/>
  <c r="J21"/>
  <c r="I21"/>
  <c r="H21"/>
  <c r="N54" i="294" l="1"/>
  <c r="AP56"/>
  <c r="AP58"/>
  <c r="N57"/>
  <c r="N56"/>
  <c r="N59"/>
  <c r="AS57"/>
  <c r="N58"/>
  <c r="AP59"/>
  <c r="AF5" i="356"/>
  <c r="AR59" i="294" l="1"/>
  <c r="AQ56"/>
  <c r="AQ58"/>
  <c r="AR56"/>
  <c r="AR58"/>
  <c r="AQ59"/>
  <c r="G26" i="121"/>
  <c r="K26" s="1"/>
  <c r="J17"/>
  <c r="I17"/>
  <c r="K14"/>
  <c r="J14"/>
  <c r="I14"/>
  <c r="H14"/>
  <c r="K13"/>
  <c r="K18" s="1"/>
  <c r="J13"/>
  <c r="I13"/>
  <c r="H13"/>
  <c r="G13"/>
  <c r="AS56" i="294" l="1"/>
  <c r="AS59"/>
  <c r="AS58"/>
  <c r="H26" i="121"/>
  <c r="J26"/>
  <c r="I26"/>
  <c r="K19"/>
  <c r="BG19" i="294" l="1"/>
  <c r="BG65" s="1"/>
  <c r="K15" i="138"/>
  <c r="K14"/>
  <c r="K31" i="294" l="1"/>
  <c r="L20"/>
  <c r="L66" s="1"/>
  <c r="AW31" l="1"/>
  <c r="AV31"/>
  <c r="AB31"/>
  <c r="AC31"/>
  <c r="X31"/>
  <c r="T35"/>
  <c r="T31"/>
  <c r="O18"/>
  <c r="P18"/>
  <c r="M31"/>
  <c r="J31"/>
  <c r="AY31" l="1"/>
  <c r="AX31"/>
  <c r="Z31"/>
  <c r="BF31"/>
  <c r="AZ31" l="1"/>
  <c r="J19" l="1"/>
  <c r="K19"/>
  <c r="L19"/>
  <c r="M19"/>
  <c r="Q19"/>
  <c r="R19"/>
  <c r="S19"/>
  <c r="T19"/>
  <c r="U19"/>
  <c r="V19"/>
  <c r="W19"/>
  <c r="X19"/>
  <c r="Y19"/>
  <c r="I19"/>
  <c r="Z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I20"/>
  <c r="I66" s="1"/>
  <c r="J20"/>
  <c r="J66" s="1"/>
  <c r="K20"/>
  <c r="K66" s="1"/>
  <c r="M20"/>
  <c r="M66" s="1"/>
  <c r="Q20"/>
  <c r="Q66" s="1"/>
  <c r="R20"/>
  <c r="R66" s="1"/>
  <c r="S20"/>
  <c r="S66" s="1"/>
  <c r="T20"/>
  <c r="T66" s="1"/>
  <c r="U20"/>
  <c r="U66" s="1"/>
  <c r="V20"/>
  <c r="V66" s="1"/>
  <c r="W20"/>
  <c r="W66" s="1"/>
  <c r="X20"/>
  <c r="X66" s="1"/>
  <c r="Y20"/>
  <c r="Y66" s="1"/>
  <c r="Z20"/>
  <c r="Z66" s="1"/>
  <c r="AB20"/>
  <c r="AB66" s="1"/>
  <c r="AC20"/>
  <c r="AC66" s="1"/>
  <c r="AD20"/>
  <c r="AD66" s="1"/>
  <c r="AE20"/>
  <c r="AF20"/>
  <c r="AF66" s="1"/>
  <c r="AG20"/>
  <c r="AG66" s="1"/>
  <c r="AH20"/>
  <c r="AH66" s="1"/>
  <c r="AI20"/>
  <c r="AJ20"/>
  <c r="AK20"/>
  <c r="AK66" s="1"/>
  <c r="AL20"/>
  <c r="AM20"/>
  <c r="AN20"/>
  <c r="AO20"/>
  <c r="AP20"/>
  <c r="AQ20"/>
  <c r="AR20"/>
  <c r="AS20"/>
  <c r="AT20"/>
  <c r="AT66" s="1"/>
  <c r="AU20"/>
  <c r="AU66" s="1"/>
  <c r="AV20"/>
  <c r="AV66" s="1"/>
  <c r="AW20"/>
  <c r="AW66" s="1"/>
  <c r="AX20"/>
  <c r="AX66" s="1"/>
  <c r="AY20"/>
  <c r="AY66" s="1"/>
  <c r="AZ20"/>
  <c r="AZ66" s="1"/>
  <c r="BA20"/>
  <c r="BB20"/>
  <c r="BC20"/>
  <c r="BC66" s="1"/>
  <c r="BD20"/>
  <c r="BD66" s="1"/>
  <c r="BE20"/>
  <c r="BE66" s="1"/>
  <c r="BF20"/>
  <c r="BF66" s="1"/>
  <c r="BG20"/>
  <c r="L22"/>
  <c r="L68" s="1"/>
  <c r="Q22"/>
  <c r="R22"/>
  <c r="S22"/>
  <c r="T22"/>
  <c r="U22"/>
  <c r="V22"/>
  <c r="W22"/>
  <c r="X22"/>
  <c r="Y22"/>
  <c r="Z22"/>
  <c r="AB22"/>
  <c r="AC22"/>
  <c r="AD22"/>
  <c r="AD68" s="1"/>
  <c r="AK22"/>
  <c r="AL22"/>
  <c r="AL68" s="1"/>
  <c r="AT22"/>
  <c r="AU22"/>
  <c r="AV22"/>
  <c r="AW22"/>
  <c r="AX22"/>
  <c r="AY22"/>
  <c r="AZ22"/>
  <c r="BA22"/>
  <c r="BA68" s="1"/>
  <c r="BE22"/>
  <c r="BF22"/>
  <c r="BG22"/>
  <c r="AD23"/>
  <c r="AE23"/>
  <c r="AF23"/>
  <c r="AG23"/>
  <c r="AH23"/>
  <c r="AI23"/>
  <c r="AJ23"/>
  <c r="Q24"/>
  <c r="Q70" s="1"/>
  <c r="R24"/>
  <c r="S24"/>
  <c r="S70" s="1"/>
  <c r="T24"/>
  <c r="T70" s="1"/>
  <c r="H20"/>
  <c r="H66" s="1"/>
  <c r="H22"/>
  <c r="H68" s="1"/>
  <c r="AF33"/>
  <c r="BD33"/>
  <c r="BC33"/>
  <c r="BB33"/>
  <c r="AM33"/>
  <c r="BB22" l="1"/>
  <c r="BB68" s="1"/>
  <c r="BC22"/>
  <c r="BC68" s="1"/>
  <c r="AJ33"/>
  <c r="BD22"/>
  <c r="BD68" s="1"/>
  <c r="AI33"/>
  <c r="AF22"/>
  <c r="AF68" s="1"/>
  <c r="AM22"/>
  <c r="AM68" s="1"/>
  <c r="AI22" l="1"/>
  <c r="AI68" s="1"/>
  <c r="AJ22"/>
  <c r="AJ68" s="1"/>
  <c r="AO33"/>
  <c r="AN33"/>
  <c r="AG33"/>
  <c r="AE33"/>
  <c r="M33"/>
  <c r="K33"/>
  <c r="J33"/>
  <c r="I33"/>
  <c r="L32"/>
  <c r="Q21"/>
  <c r="R21"/>
  <c r="S21"/>
  <c r="T21"/>
  <c r="U21"/>
  <c r="V21"/>
  <c r="W21"/>
  <c r="X21"/>
  <c r="Y21"/>
  <c r="Z21"/>
  <c r="AB21"/>
  <c r="AC21"/>
  <c r="AD32"/>
  <c r="AF32"/>
  <c r="AK21"/>
  <c r="AL32"/>
  <c r="AT21"/>
  <c r="AU21"/>
  <c r="AV21"/>
  <c r="AW21"/>
  <c r="AX21"/>
  <c r="AY21"/>
  <c r="AZ21"/>
  <c r="BA32"/>
  <c r="BE21"/>
  <c r="BF21"/>
  <c r="BG21"/>
  <c r="L34"/>
  <c r="Q23"/>
  <c r="R23"/>
  <c r="S23"/>
  <c r="T23"/>
  <c r="U23"/>
  <c r="V23"/>
  <c r="W23"/>
  <c r="X23"/>
  <c r="Y23"/>
  <c r="Z23"/>
  <c r="AB23"/>
  <c r="AC23"/>
  <c r="AK23"/>
  <c r="AL34"/>
  <c r="AT23"/>
  <c r="AU23"/>
  <c r="AV23"/>
  <c r="AW23"/>
  <c r="AX23"/>
  <c r="AY23"/>
  <c r="AZ23"/>
  <c r="BA34"/>
  <c r="BE23"/>
  <c r="BF23"/>
  <c r="BG23"/>
  <c r="L35"/>
  <c r="U24"/>
  <c r="V24"/>
  <c r="W24"/>
  <c r="W70" s="1"/>
  <c r="X24"/>
  <c r="X70" s="1"/>
  <c r="Y24"/>
  <c r="Y70" s="1"/>
  <c r="Z24"/>
  <c r="Z70" s="1"/>
  <c r="AB24"/>
  <c r="AB70" s="1"/>
  <c r="AC24"/>
  <c r="AD35"/>
  <c r="AF35"/>
  <c r="AK24"/>
  <c r="AL35"/>
  <c r="AT24"/>
  <c r="AU24"/>
  <c r="AV24"/>
  <c r="AW24"/>
  <c r="AX24"/>
  <c r="AY24"/>
  <c r="AZ24"/>
  <c r="BA35"/>
  <c r="BE24"/>
  <c r="BF24"/>
  <c r="BG24"/>
  <c r="H32"/>
  <c r="H34"/>
  <c r="H35"/>
  <c r="I18"/>
  <c r="J18"/>
  <c r="L18"/>
  <c r="M18"/>
  <c r="Q18"/>
  <c r="R18"/>
  <c r="S18"/>
  <c r="T18"/>
  <c r="U18"/>
  <c r="V18"/>
  <c r="W18"/>
  <c r="X18"/>
  <c r="Y18"/>
  <c r="Z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N18"/>
  <c r="BF18"/>
  <c r="K18"/>
  <c r="BG18"/>
  <c r="H18"/>
  <c r="M34" l="1"/>
  <c r="L21"/>
  <c r="L67" s="1"/>
  <c r="M22"/>
  <c r="M68" s="1"/>
  <c r="L24"/>
  <c r="L70" s="1"/>
  <c r="AD24"/>
  <c r="AD70" s="1"/>
  <c r="I22"/>
  <c r="I68" s="1"/>
  <c r="AE22"/>
  <c r="AE68" s="1"/>
  <c r="K32"/>
  <c r="G12"/>
  <c r="J22"/>
  <c r="J68" s="1"/>
  <c r="K22"/>
  <c r="K68" s="1"/>
  <c r="H23"/>
  <c r="H69" s="1"/>
  <c r="I34"/>
  <c r="J34"/>
  <c r="K34"/>
  <c r="I32"/>
  <c r="G13"/>
  <c r="H24"/>
  <c r="H70" s="1"/>
  <c r="G10"/>
  <c r="H21"/>
  <c r="H67" s="1"/>
  <c r="I35"/>
  <c r="J35"/>
  <c r="K35"/>
  <c r="J32"/>
  <c r="M32"/>
  <c r="BA21"/>
  <c r="BA67" s="1"/>
  <c r="AF21"/>
  <c r="AF67" s="1"/>
  <c r="AJ35"/>
  <c r="BA24"/>
  <c r="BA70" s="1"/>
  <c r="BC35"/>
  <c r="BB35"/>
  <c r="AG35"/>
  <c r="AF24"/>
  <c r="AF70" s="1"/>
  <c r="BD34"/>
  <c r="BA23"/>
  <c r="BA69" s="1"/>
  <c r="BC34"/>
  <c r="BB34"/>
  <c r="L23"/>
  <c r="L69" s="1"/>
  <c r="AD21"/>
  <c r="AD67" s="1"/>
  <c r="M35"/>
  <c r="AE35"/>
  <c r="AI35"/>
  <c r="AJ32"/>
  <c r="AE32"/>
  <c r="M23"/>
  <c r="M69" s="1"/>
  <c r="AG22"/>
  <c r="AG68" s="1"/>
  <c r="AL23"/>
  <c r="AL69" s="1"/>
  <c r="AM34"/>
  <c r="AN22"/>
  <c r="AN68" s="1"/>
  <c r="AO2"/>
  <c r="AO22"/>
  <c r="AO68" s="1"/>
  <c r="AL24"/>
  <c r="AL70" s="1"/>
  <c r="AL21"/>
  <c r="AL67" s="1"/>
  <c r="AM32"/>
  <c r="AM35"/>
  <c r="AH33"/>
  <c r="AG32"/>
  <c r="AP33"/>
  <c r="O11" i="197"/>
  <c r="AW18" i="295"/>
  <c r="AW33" s="1"/>
  <c r="BB21" i="294" l="1"/>
  <c r="BB67" s="1"/>
  <c r="BB32"/>
  <c r="BD24"/>
  <c r="BD70" s="1"/>
  <c r="BD35"/>
  <c r="BC21"/>
  <c r="BC67" s="1"/>
  <c r="BC32"/>
  <c r="BD21"/>
  <c r="BD67" s="1"/>
  <c r="BD32"/>
  <c r="AI32"/>
  <c r="K21"/>
  <c r="K67" s="1"/>
  <c r="AI21"/>
  <c r="AI67" s="1"/>
  <c r="M21"/>
  <c r="M67" s="1"/>
  <c r="M24"/>
  <c r="M70" s="1"/>
  <c r="AG24"/>
  <c r="AG70" s="1"/>
  <c r="K24"/>
  <c r="K70" s="1"/>
  <c r="I24"/>
  <c r="I70" s="1"/>
  <c r="K23"/>
  <c r="K69" s="1"/>
  <c r="I23"/>
  <c r="I69" s="1"/>
  <c r="J21"/>
  <c r="J67" s="1"/>
  <c r="J24"/>
  <c r="J70" s="1"/>
  <c r="I21"/>
  <c r="I67" s="1"/>
  <c r="J23"/>
  <c r="J69" s="1"/>
  <c r="AE21"/>
  <c r="AE67" s="1"/>
  <c r="BC23"/>
  <c r="BC69" s="1"/>
  <c r="BD23"/>
  <c r="BD69" s="1"/>
  <c r="BB24"/>
  <c r="BB70" s="1"/>
  <c r="BC24"/>
  <c r="BC70" s="1"/>
  <c r="AJ24"/>
  <c r="AJ70" s="1"/>
  <c r="AI24"/>
  <c r="AI70" s="1"/>
  <c r="AJ21"/>
  <c r="AJ67" s="1"/>
  <c r="AE24"/>
  <c r="AE70" s="1"/>
  <c r="BB23"/>
  <c r="BB69" s="1"/>
  <c r="AG21"/>
  <c r="AG67" s="1"/>
  <c r="AH22"/>
  <c r="AH68" s="1"/>
  <c r="AP22"/>
  <c r="AP68" s="1"/>
  <c r="AO35"/>
  <c r="AM24"/>
  <c r="AM70" s="1"/>
  <c r="AP2"/>
  <c r="AN35"/>
  <c r="AN32"/>
  <c r="AM21"/>
  <c r="AM67" s="1"/>
  <c r="AM23"/>
  <c r="AM69" s="1"/>
  <c r="AO34"/>
  <c r="AN34"/>
  <c r="AH32"/>
  <c r="AH35"/>
  <c r="AR33"/>
  <c r="AQ33"/>
  <c r="AO32" l="1"/>
  <c r="AP32"/>
  <c r="AO21"/>
  <c r="AO67" s="1"/>
  <c r="AH24"/>
  <c r="AH70" s="1"/>
  <c r="AH21"/>
  <c r="AH67" s="1"/>
  <c r="AP34"/>
  <c r="AO23"/>
  <c r="AO69" s="1"/>
  <c r="AN24"/>
  <c r="AN70" s="1"/>
  <c r="AO24"/>
  <c r="AO70" s="1"/>
  <c r="AP35"/>
  <c r="AP21"/>
  <c r="AP67" s="1"/>
  <c r="AQ22"/>
  <c r="AQ68" s="1"/>
  <c r="AN23"/>
  <c r="AN69" s="1"/>
  <c r="AN21"/>
  <c r="AN67" s="1"/>
  <c r="AR22"/>
  <c r="AR68" s="1"/>
  <c r="AS33"/>
  <c r="AR32"/>
  <c r="AQ32"/>
  <c r="AX17" i="295"/>
  <c r="AX32" s="1"/>
  <c r="AX18"/>
  <c r="AX33" s="1"/>
  <c r="AP23" i="294" l="1"/>
  <c r="AP69" s="1"/>
  <c r="AR34"/>
  <c r="AQ34"/>
  <c r="AQ21"/>
  <c r="AQ67" s="1"/>
  <c r="AP24"/>
  <c r="AP70" s="1"/>
  <c r="AR35"/>
  <c r="AQ35"/>
  <c r="AS22"/>
  <c r="AS68" s="1"/>
  <c r="AR21"/>
  <c r="AR67" s="1"/>
  <c r="AS32"/>
  <c r="AQ24" l="1"/>
  <c r="AQ70" s="1"/>
  <c r="AS35"/>
  <c r="AR24"/>
  <c r="AR70" s="1"/>
  <c r="AR23"/>
  <c r="AR69" s="1"/>
  <c r="AQ23"/>
  <c r="AQ69" s="1"/>
  <c r="AS34"/>
  <c r="AS21"/>
  <c r="AS67" s="1"/>
  <c r="I48" i="356"/>
  <c r="I49" s="1"/>
  <c r="H48"/>
  <c r="H49" s="1"/>
  <c r="G48"/>
  <c r="G49" s="1"/>
  <c r="AS24" i="294" l="1"/>
  <c r="AS70" s="1"/>
  <c r="AS23"/>
  <c r="AS69" s="1"/>
  <c r="AB39" i="295"/>
  <c r="AA39"/>
  <c r="Z39"/>
  <c r="Y39"/>
  <c r="W39"/>
  <c r="V39"/>
  <c r="U39"/>
  <c r="P39"/>
  <c r="O39"/>
  <c r="K39"/>
  <c r="G39"/>
  <c r="L39" l="1"/>
  <c r="K18"/>
  <c r="K33" s="1"/>
  <c r="Q18"/>
  <c r="Q33" s="1"/>
  <c r="P18"/>
  <c r="P33" s="1"/>
  <c r="AA18"/>
  <c r="AA33" s="1"/>
  <c r="AB18"/>
  <c r="AB33" s="1"/>
  <c r="AB17"/>
  <c r="AB32" s="1"/>
  <c r="F17"/>
  <c r="F32" s="1"/>
  <c r="F18"/>
  <c r="F33" s="1"/>
  <c r="G19"/>
  <c r="G34" s="1"/>
  <c r="G17"/>
  <c r="G32" s="1"/>
  <c r="G18"/>
  <c r="G33" s="1"/>
  <c r="O18"/>
  <c r="O33" s="1"/>
  <c r="H39"/>
  <c r="I18"/>
  <c r="I33" s="1"/>
  <c r="L17"/>
  <c r="L32" s="1"/>
  <c r="L18"/>
  <c r="L33" s="1"/>
  <c r="Z18"/>
  <c r="Z33" s="1"/>
  <c r="Z17"/>
  <c r="Z32" s="1"/>
  <c r="BP18"/>
  <c r="BP33" s="1"/>
  <c r="BP17"/>
  <c r="BP32" s="1"/>
  <c r="AT17"/>
  <c r="AT32" s="1"/>
  <c r="AT18"/>
  <c r="AT33" s="1"/>
  <c r="AT16"/>
  <c r="AT31" s="1"/>
  <c r="AT14"/>
  <c r="N39"/>
  <c r="AU15"/>
  <c r="AU30" s="1"/>
  <c r="T39"/>
  <c r="AC18"/>
  <c r="AC33" s="1"/>
  <c r="J39"/>
  <c r="P17"/>
  <c r="P32" s="1"/>
  <c r="S39"/>
  <c r="P13"/>
  <c r="P28" s="1"/>
  <c r="P19"/>
  <c r="P34" s="1"/>
  <c r="P14"/>
  <c r="P29" s="1"/>
  <c r="P16"/>
  <c r="P31" s="1"/>
  <c r="I15"/>
  <c r="I39" l="1"/>
  <c r="I30"/>
  <c r="AT13"/>
  <c r="AT28" s="1"/>
  <c r="AT29"/>
  <c r="J18"/>
  <c r="J33" s="1"/>
  <c r="AI18"/>
  <c r="AI33" s="1"/>
  <c r="AU18"/>
  <c r="AU33" s="1"/>
  <c r="N18"/>
  <c r="N33" s="1"/>
  <c r="N17"/>
  <c r="N32" s="1"/>
  <c r="AF18"/>
  <c r="AF33" s="1"/>
  <c r="M39"/>
  <c r="X39"/>
  <c r="R39"/>
  <c r="M16" l="1"/>
  <c r="M31" s="1"/>
  <c r="D5"/>
  <c r="BG18"/>
  <c r="BG33" s="1"/>
  <c r="M17"/>
  <c r="K17"/>
  <c r="K32" s="1"/>
  <c r="F13"/>
  <c r="F28" s="1"/>
  <c r="D14"/>
  <c r="D29" s="1"/>
  <c r="G5" l="1"/>
  <c r="M33"/>
  <c r="F5"/>
  <c r="M32"/>
  <c r="AV18"/>
  <c r="AV33" s="1"/>
  <c r="AV17"/>
  <c r="AV32" s="1"/>
  <c r="AV19"/>
  <c r="AV34" s="1"/>
  <c r="BS16"/>
  <c r="BS31" s="1"/>
  <c r="BR19"/>
  <c r="BR34" s="1"/>
  <c r="BR16"/>
  <c r="BR31" s="1"/>
  <c r="O16"/>
  <c r="O31" s="1"/>
  <c r="F19"/>
  <c r="F34" s="1"/>
  <c r="F14"/>
  <c r="F29" s="1"/>
  <c r="E5"/>
  <c r="AC17" l="1"/>
  <c r="AC32" s="1"/>
  <c r="AC19"/>
  <c r="AC34" s="1"/>
  <c r="I11" i="355" l="1"/>
  <c r="D13" i="295" l="1"/>
  <c r="D28" s="1"/>
  <c r="D19"/>
  <c r="D34" s="1"/>
  <c r="AW14" l="1"/>
  <c r="AW29" s="1"/>
  <c r="AW16" l="1"/>
  <c r="AW31" s="1"/>
  <c r="DD39" l="1"/>
  <c r="DC39"/>
  <c r="DB39"/>
  <c r="DA39"/>
  <c r="CZ39"/>
  <c r="DH39"/>
  <c r="DG16"/>
  <c r="DG31" s="1"/>
  <c r="CY39"/>
  <c r="CX39"/>
  <c r="CW39"/>
  <c r="CM19"/>
  <c r="CM34" s="1"/>
  <c r="DH19" l="1"/>
  <c r="DH34" s="1"/>
  <c r="DC16"/>
  <c r="DC31" s="1"/>
  <c r="CV17"/>
  <c r="CV32" s="1"/>
  <c r="CY16"/>
  <c r="CY31" s="1"/>
  <c r="CJ17"/>
  <c r="CJ32" s="1"/>
  <c r="CZ16"/>
  <c r="CZ31" s="1"/>
  <c r="DA17"/>
  <c r="DA32" s="1"/>
  <c r="DB19"/>
  <c r="DB34" s="1"/>
  <c r="DD17"/>
  <c r="DD32" s="1"/>
  <c r="DY16"/>
  <c r="DH16"/>
  <c r="DH31" s="1"/>
  <c r="CV16"/>
  <c r="CV31" s="1"/>
  <c r="DD19"/>
  <c r="DD34" s="1"/>
  <c r="DC19"/>
  <c r="DC34" s="1"/>
  <c r="CJ19"/>
  <c r="CJ34" s="1"/>
  <c r="DC17"/>
  <c r="DC32" s="1"/>
  <c r="DD16"/>
  <c r="DD31" s="1"/>
  <c r="DB16"/>
  <c r="DB31" s="1"/>
  <c r="DZ16" l="1"/>
  <c r="DZ31" s="1"/>
  <c r="DY31"/>
  <c r="DE16"/>
  <c r="DE31" s="1"/>
  <c r="CC15"/>
  <c r="CC30" s="1"/>
  <c r="CA17"/>
  <c r="CA32" s="1"/>
  <c r="BQ19"/>
  <c r="BQ34" s="1"/>
  <c r="BP19"/>
  <c r="BP34" s="1"/>
  <c r="AV16"/>
  <c r="AV31" s="1"/>
  <c r="AT19"/>
  <c r="AT34" s="1"/>
  <c r="AL14"/>
  <c r="AL29" s="1"/>
  <c r="AI16"/>
  <c r="AI31" s="1"/>
  <c r="BI14"/>
  <c r="BI29" s="1"/>
  <c r="Z19"/>
  <c r="Z34" s="1"/>
  <c r="L14"/>
  <c r="L29" s="1"/>
  <c r="L16"/>
  <c r="L31" s="1"/>
  <c r="J14"/>
  <c r="J29" s="1"/>
  <c r="G16"/>
  <c r="G31" s="1"/>
  <c r="CC39" l="1"/>
  <c r="CR15"/>
  <c r="BN18"/>
  <c r="BN33" s="1"/>
  <c r="BC18"/>
  <c r="BC33" s="1"/>
  <c r="BM18"/>
  <c r="BM33" s="1"/>
  <c r="AI14"/>
  <c r="AI29" s="1"/>
  <c r="BB18"/>
  <c r="BB33" s="1"/>
  <c r="BO17"/>
  <c r="BO32" s="1"/>
  <c r="BO18"/>
  <c r="BO33" s="1"/>
  <c r="BB13"/>
  <c r="BB28" s="1"/>
  <c r="BU17"/>
  <c r="BU32" s="1"/>
  <c r="BC17"/>
  <c r="BC32" s="1"/>
  <c r="BN17"/>
  <c r="BN32" s="1"/>
  <c r="BM19"/>
  <c r="BM34" s="1"/>
  <c r="CB15"/>
  <c r="CB30" s="1"/>
  <c r="BG19"/>
  <c r="BG34" s="1"/>
  <c r="AA13"/>
  <c r="AA28" s="1"/>
  <c r="Q16"/>
  <c r="Q31" s="1"/>
  <c r="AB16"/>
  <c r="AB31" s="1"/>
  <c r="K13"/>
  <c r="K28" s="1"/>
  <c r="BU19"/>
  <c r="BU34" s="1"/>
  <c r="J16"/>
  <c r="J31" s="1"/>
  <c r="K16"/>
  <c r="K31" s="1"/>
  <c r="AA19"/>
  <c r="AA34" s="1"/>
  <c r="BG12"/>
  <c r="BG27" s="1"/>
  <c r="AA17"/>
  <c r="AA32" s="1"/>
  <c r="BY17"/>
  <c r="BY32" s="1"/>
  <c r="J19"/>
  <c r="J34" s="1"/>
  <c r="AB19"/>
  <c r="AB34" s="1"/>
  <c r="AI13"/>
  <c r="AI28" s="1"/>
  <c r="J17"/>
  <c r="J32" s="1"/>
  <c r="BN19"/>
  <c r="BN34" s="1"/>
  <c r="AL13"/>
  <c r="AL28" s="1"/>
  <c r="I19"/>
  <c r="I34" s="1"/>
  <c r="J13"/>
  <c r="J28" s="1"/>
  <c r="BH15"/>
  <c r="BH30" s="1"/>
  <c r="AV13"/>
  <c r="AV28" s="1"/>
  <c r="BP16"/>
  <c r="BP31" s="1"/>
  <c r="BY16"/>
  <c r="BY31" s="1"/>
  <c r="BY19"/>
  <c r="BY34" s="1"/>
  <c r="CD15"/>
  <c r="CD30" s="1"/>
  <c r="O14"/>
  <c r="O29" s="1"/>
  <c r="Q17"/>
  <c r="Q32" s="1"/>
  <c r="AU14"/>
  <c r="AU29" s="1"/>
  <c r="Q19"/>
  <c r="Q34" s="1"/>
  <c r="T16"/>
  <c r="T31" s="1"/>
  <c r="T19"/>
  <c r="T34" s="1"/>
  <c r="T17"/>
  <c r="T32" s="1"/>
  <c r="N14"/>
  <c r="N29" s="1"/>
  <c r="N13"/>
  <c r="N28" s="1"/>
  <c r="Z14"/>
  <c r="Z29" s="1"/>
  <c r="BI16"/>
  <c r="BI31" s="1"/>
  <c r="BB17"/>
  <c r="BB32" s="1"/>
  <c r="K19"/>
  <c r="K34" s="1"/>
  <c r="K14"/>
  <c r="K29" s="1"/>
  <c r="M13"/>
  <c r="M28" s="1"/>
  <c r="N16"/>
  <c r="N31" s="1"/>
  <c r="O19"/>
  <c r="O34" s="1"/>
  <c r="Z16"/>
  <c r="Z31" s="1"/>
  <c r="Z13"/>
  <c r="Z28" s="1"/>
  <c r="AA14"/>
  <c r="AA29" s="1"/>
  <c r="BI17"/>
  <c r="BI32" s="1"/>
  <c r="AI19"/>
  <c r="AI34" s="1"/>
  <c r="AL16"/>
  <c r="AL31" s="1"/>
  <c r="BQ16"/>
  <c r="BQ31" s="1"/>
  <c r="M14"/>
  <c r="M29" s="1"/>
  <c r="N19"/>
  <c r="N34" s="1"/>
  <c r="BI13"/>
  <c r="BI28" s="1"/>
  <c r="I16"/>
  <c r="I31" s="1"/>
  <c r="O13"/>
  <c r="O28" s="1"/>
  <c r="O17"/>
  <c r="O32" s="1"/>
  <c r="AA16"/>
  <c r="AA31" s="1"/>
  <c r="H5" l="1"/>
  <c r="M34"/>
  <c r="CR39"/>
  <c r="CR30"/>
  <c r="BH39"/>
  <c r="CB39"/>
  <c r="CQ15"/>
  <c r="CD39"/>
  <c r="CS15"/>
  <c r="BH18"/>
  <c r="BH33" s="1"/>
  <c r="CB19"/>
  <c r="CB34" s="1"/>
  <c r="AF19"/>
  <c r="AF34" s="1"/>
  <c r="BH19"/>
  <c r="BH34" s="1"/>
  <c r="BG17"/>
  <c r="BG32" s="1"/>
  <c r="BG16"/>
  <c r="BG31" s="1"/>
  <c r="M12"/>
  <c r="M27" s="1"/>
  <c r="BH12"/>
  <c r="BH27" s="1"/>
  <c r="BH17"/>
  <c r="BH32" s="1"/>
  <c r="BH16"/>
  <c r="BH31" s="1"/>
  <c r="AC13"/>
  <c r="AC28" s="1"/>
  <c r="AC14"/>
  <c r="AC29" s="1"/>
  <c r="AC16"/>
  <c r="AC31" s="1"/>
  <c r="D41" i="356"/>
  <c r="E42"/>
  <c r="CQ39" i="295" l="1"/>
  <c r="CQ30"/>
  <c r="CS39"/>
  <c r="CS30"/>
  <c r="AZ18"/>
  <c r="AZ33" s="1"/>
  <c r="AY18"/>
  <c r="AY33" s="1"/>
  <c r="BA18"/>
  <c r="BA33" s="1"/>
  <c r="AH18"/>
  <c r="AH33" s="1"/>
  <c r="AH17"/>
  <c r="AH32" s="1"/>
  <c r="AZ17"/>
  <c r="AZ32" s="1"/>
  <c r="AZ13"/>
  <c r="AZ28" s="1"/>
  <c r="AX16"/>
  <c r="AX31" s="1"/>
  <c r="AX13"/>
  <c r="AX28" s="1"/>
  <c r="AH13"/>
  <c r="AH14"/>
  <c r="AH29" s="1"/>
  <c r="AH16"/>
  <c r="AH31" s="1"/>
  <c r="AY14"/>
  <c r="AY29" s="1"/>
  <c r="AY17"/>
  <c r="AY32" s="1"/>
  <c r="AJ13" l="1"/>
  <c r="AJ28" s="1"/>
  <c r="AH28"/>
  <c r="AK18"/>
  <c r="AK33" s="1"/>
  <c r="AJ18"/>
  <c r="AJ33" s="1"/>
  <c r="AK16"/>
  <c r="AK31" s="1"/>
  <c r="AJ17"/>
  <c r="AJ32" s="1"/>
  <c r="BK18" l="1"/>
  <c r="BK33" s="1"/>
  <c r="BL18"/>
  <c r="BL33" s="1"/>
  <c r="DI39"/>
  <c r="BL13"/>
  <c r="BL28" s="1"/>
  <c r="BL17"/>
  <c r="BL32" s="1"/>
  <c r="CG19"/>
  <c r="CG34" s="1"/>
  <c r="CG16"/>
  <c r="CG31" s="1"/>
  <c r="CF19"/>
  <c r="CF34" s="1"/>
  <c r="CF16"/>
  <c r="CF31" s="1"/>
  <c r="BK16"/>
  <c r="BK31" s="1"/>
  <c r="BK17"/>
  <c r="BK32" s="1"/>
  <c r="DI19" l="1"/>
  <c r="DI34" s="1"/>
  <c r="DI17"/>
  <c r="DI32" s="1"/>
  <c r="DI16"/>
  <c r="DI31" s="1"/>
  <c r="DQ15"/>
  <c r="DR15" l="1"/>
  <c r="DK15" s="1"/>
  <c r="DK30" s="1"/>
  <c r="DQ30"/>
  <c r="BJ18"/>
  <c r="BJ33" s="1"/>
  <c r="BJ17"/>
  <c r="BJ32" s="1"/>
  <c r="DK13" l="1"/>
  <c r="DK28" s="1"/>
  <c r="DR30"/>
  <c r="DK17"/>
  <c r="DK32" s="1"/>
  <c r="DK18"/>
  <c r="DK33" s="1"/>
  <c r="DK16"/>
  <c r="DK31" s="1"/>
  <c r="DK14"/>
  <c r="DK29" s="1"/>
  <c r="DK19"/>
  <c r="DK34" s="1"/>
  <c r="I12" i="357"/>
  <c r="I24" s="1"/>
  <c r="H13"/>
  <c r="H14" s="1"/>
  <c r="H9"/>
  <c r="H33" s="1"/>
  <c r="H10"/>
  <c r="H22" s="1"/>
  <c r="I13"/>
  <c r="I14" s="1"/>
  <c r="H12"/>
  <c r="I36" l="1"/>
  <c r="H21"/>
  <c r="E11" i="199" l="1"/>
  <c r="E19" s="1"/>
  <c r="E20" s="1"/>
  <c r="E21"/>
  <c r="E15"/>
  <c r="E10" l="1"/>
  <c r="I28" i="357"/>
  <c r="O12" i="197" l="1"/>
  <c r="AU17" i="295"/>
  <c r="AU32" s="1"/>
  <c r="AW17"/>
  <c r="AW32" s="1"/>
  <c r="AW19"/>
  <c r="AW34" s="1"/>
  <c r="AW13"/>
  <c r="AW28" s="1"/>
  <c r="AS19"/>
  <c r="AS34" s="1"/>
  <c r="AS17"/>
  <c r="AS32" s="1"/>
  <c r="AS16"/>
  <c r="AS31" s="1"/>
  <c r="AS14"/>
  <c r="AS29" s="1"/>
  <c r="AS13"/>
  <c r="AS28" s="1"/>
  <c r="AS21" l="1"/>
  <c r="AS18"/>
  <c r="AS33" s="1"/>
  <c r="AU13"/>
  <c r="AU28" s="1"/>
  <c r="AU19"/>
  <c r="AU34" s="1"/>
  <c r="AU16"/>
  <c r="AU31" s="1"/>
  <c r="AS20" l="1"/>
  <c r="AK19"/>
  <c r="AK34" s="1"/>
  <c r="AK13"/>
  <c r="AK28" s="1"/>
  <c r="AK17"/>
  <c r="AK32" s="1"/>
  <c r="AK14"/>
  <c r="AK29" s="1"/>
  <c r="I15" i="138" l="1"/>
  <c r="I14"/>
  <c r="H14"/>
  <c r="J14"/>
  <c r="L14"/>
  <c r="G14"/>
  <c r="K15" i="351"/>
  <c r="I15"/>
  <c r="H15"/>
  <c r="H14"/>
  <c r="J14"/>
  <c r="I14"/>
  <c r="I40" i="357" l="1"/>
  <c r="I27"/>
  <c r="I39" s="1"/>
  <c r="I25"/>
  <c r="I37" s="1"/>
  <c r="H28"/>
  <c r="H40" s="1"/>
  <c r="H27"/>
  <c r="H39" s="1"/>
  <c r="H25"/>
  <c r="H37" s="1"/>
  <c r="H34"/>
  <c r="H24"/>
  <c r="H36" s="1"/>
  <c r="D68" i="183"/>
  <c r="D64"/>
  <c r="D65"/>
  <c r="D63"/>
  <c r="D59"/>
  <c r="D60"/>
  <c r="D58"/>
  <c r="D57"/>
  <c r="D51"/>
  <c r="AF9" i="356"/>
  <c r="H26" i="357" l="1"/>
  <c r="H38" s="1"/>
  <c r="I26"/>
  <c r="I38" s="1"/>
  <c r="H11"/>
  <c r="H23" s="1"/>
  <c r="H35" s="1"/>
  <c r="AH19" i="295"/>
  <c r="AH34" s="1"/>
  <c r="H32" i="317"/>
  <c r="I32" s="1"/>
  <c r="J32" s="1"/>
  <c r="K32" s="1"/>
  <c r="L32" s="1"/>
  <c r="M32" s="1"/>
  <c r="H33"/>
  <c r="I33" s="1"/>
  <c r="J33" s="1"/>
  <c r="K33" s="1"/>
  <c r="L33" s="1"/>
  <c r="M33" s="1"/>
  <c r="H34"/>
  <c r="I34" s="1"/>
  <c r="J34" s="1"/>
  <c r="K34" s="1"/>
  <c r="L34" s="1"/>
  <c r="M34" s="1"/>
  <c r="D39" i="356"/>
  <c r="E39"/>
  <c r="AG5"/>
  <c r="AG8"/>
  <c r="AF8"/>
  <c r="AG9"/>
  <c r="AE14"/>
  <c r="AD14"/>
  <c r="F31" i="357" l="1"/>
  <c r="F32"/>
  <c r="F33"/>
  <c r="F34"/>
  <c r="F35"/>
  <c r="F36"/>
  <c r="F37"/>
  <c r="F38"/>
  <c r="F39"/>
  <c r="F40"/>
  <c r="G30"/>
  <c r="G31"/>
  <c r="G32"/>
  <c r="G33"/>
  <c r="G34"/>
  <c r="G35"/>
  <c r="G36"/>
  <c r="G37"/>
  <c r="G38"/>
  <c r="G39"/>
  <c r="G40"/>
  <c r="G29"/>
  <c r="G18"/>
  <c r="G19"/>
  <c r="G20"/>
  <c r="G21"/>
  <c r="G22"/>
  <c r="G23"/>
  <c r="G24"/>
  <c r="G25"/>
  <c r="G26"/>
  <c r="G27"/>
  <c r="G28"/>
  <c r="G17"/>
  <c r="F19"/>
  <c r="F20"/>
  <c r="F21"/>
  <c r="F22"/>
  <c r="F23"/>
  <c r="F24"/>
  <c r="F25"/>
  <c r="F26"/>
  <c r="F27"/>
  <c r="F28"/>
  <c r="D17"/>
  <c r="C17"/>
  <c r="D18"/>
  <c r="D19"/>
  <c r="D20"/>
  <c r="D21"/>
  <c r="D22"/>
  <c r="D23"/>
  <c r="D24"/>
  <c r="D25"/>
  <c r="D26"/>
  <c r="D27"/>
  <c r="D28"/>
  <c r="D40" s="1"/>
  <c r="C31"/>
  <c r="C32"/>
  <c r="C33"/>
  <c r="C34"/>
  <c r="C35"/>
  <c r="C36"/>
  <c r="C37"/>
  <c r="C38"/>
  <c r="C39"/>
  <c r="C40"/>
  <c r="C30"/>
  <c r="F29"/>
  <c r="C29"/>
  <c r="C28"/>
  <c r="C27"/>
  <c r="C26"/>
  <c r="C25"/>
  <c r="C24"/>
  <c r="C23"/>
  <c r="C22"/>
  <c r="C21"/>
  <c r="C20"/>
  <c r="C19"/>
  <c r="C18"/>
  <c r="F17"/>
  <c r="F6"/>
  <c r="F18" s="1"/>
  <c r="D29" l="1"/>
  <c r="D39"/>
  <c r="D35"/>
  <c r="D31"/>
  <c r="D38"/>
  <c r="D34"/>
  <c r="D30"/>
  <c r="F30"/>
  <c r="D37"/>
  <c r="D33"/>
  <c r="D36"/>
  <c r="D32"/>
  <c r="DO11" i="295" l="1"/>
  <c r="AG15"/>
  <c r="AG30" s="1"/>
  <c r="Q14" l="1"/>
  <c r="Q29" s="1"/>
  <c r="AV14"/>
  <c r="AV29" s="1"/>
  <c r="BQ17"/>
  <c r="BQ32" s="1"/>
  <c r="BJ19" l="1"/>
  <c r="BJ34" s="1"/>
  <c r="BJ14"/>
  <c r="BJ29" s="1"/>
  <c r="CX16"/>
  <c r="CX31" s="1"/>
  <c r="CN16"/>
  <c r="CN31" s="1"/>
  <c r="BJ16"/>
  <c r="BJ31" s="1"/>
  <c r="DG19"/>
  <c r="DG34" s="1"/>
  <c r="BJ13"/>
  <c r="BJ28" s="1"/>
  <c r="CV19"/>
  <c r="CV34" s="1"/>
  <c r="DG17"/>
  <c r="DG32" s="1"/>
  <c r="CX17" l="1"/>
  <c r="CX32" s="1"/>
  <c r="BK19"/>
  <c r="BK34" s="1"/>
  <c r="CW19"/>
  <c r="CW34" s="1"/>
  <c r="BL16"/>
  <c r="BL31" s="1"/>
  <c r="CW16"/>
  <c r="CW31" s="1"/>
  <c r="CZ19"/>
  <c r="CZ34" s="1"/>
  <c r="CZ17"/>
  <c r="CZ32" s="1"/>
  <c r="CX19"/>
  <c r="CX34" s="1"/>
  <c r="BK13"/>
  <c r="BK28" s="1"/>
  <c r="BK14"/>
  <c r="BK29" s="1"/>
  <c r="CW17"/>
  <c r="CW32" s="1"/>
  <c r="CN19"/>
  <c r="CN34" s="1"/>
  <c r="CN17"/>
  <c r="CN32" s="1"/>
  <c r="DH17"/>
  <c r="DH32" s="1"/>
  <c r="BM17"/>
  <c r="BM32" s="1"/>
  <c r="BM16"/>
  <c r="BM31" s="1"/>
  <c r="L19"/>
  <c r="L34" s="1"/>
  <c r="AL17"/>
  <c r="AJ14"/>
  <c r="AJ29" s="1"/>
  <c r="I17"/>
  <c r="I32" s="1"/>
  <c r="I14"/>
  <c r="I29" s="1"/>
  <c r="I13"/>
  <c r="I28" s="1"/>
  <c r="AL18" l="1"/>
  <c r="AL33" s="1"/>
  <c r="AL32"/>
  <c r="AL19"/>
  <c r="AL34" s="1"/>
  <c r="ED13"/>
  <c r="ED28" s="1"/>
  <c r="CY19"/>
  <c r="CY34" s="1"/>
  <c r="BL14"/>
  <c r="BL29" s="1"/>
  <c r="BN16"/>
  <c r="BN31" s="1"/>
  <c r="BL19"/>
  <c r="BL34" s="1"/>
  <c r="DE19"/>
  <c r="DE34" s="1"/>
  <c r="CY17"/>
  <c r="CY32" s="1"/>
  <c r="AX14"/>
  <c r="AX29" s="1"/>
  <c r="AX19"/>
  <c r="AX34" s="1"/>
  <c r="BO16"/>
  <c r="BO31" s="1"/>
  <c r="BO19"/>
  <c r="BO34" s="1"/>
  <c r="AI17"/>
  <c r="AI32" s="1"/>
  <c r="DF19" l="1"/>
  <c r="DF34" s="1"/>
  <c r="BA17"/>
  <c r="BA32" s="1"/>
  <c r="BA14"/>
  <c r="BA29" s="1"/>
  <c r="BA16"/>
  <c r="BA31" s="1"/>
  <c r="BA19"/>
  <c r="BA34" s="1"/>
  <c r="BA13"/>
  <c r="BA28" s="1"/>
  <c r="J21" i="352" l="1"/>
  <c r="EC16" i="295" l="1"/>
  <c r="EC31" s="1"/>
  <c r="EB16"/>
  <c r="EB31" s="1"/>
  <c r="EA15"/>
  <c r="EA30" s="1"/>
  <c r="EB15" l="1"/>
  <c r="EC15"/>
  <c r="DM15" l="1"/>
  <c r="DM30" s="1"/>
  <c r="EC30"/>
  <c r="DL15"/>
  <c r="DL30" s="1"/>
  <c r="EB30"/>
  <c r="DL17" l="1"/>
  <c r="DL32" s="1"/>
  <c r="DL19"/>
  <c r="DL34" s="1"/>
  <c r="DA19"/>
  <c r="DA34" s="1"/>
  <c r="DA16"/>
  <c r="DA31" s="1"/>
  <c r="DF17" l="1"/>
  <c r="DF32" s="1"/>
  <c r="DF16"/>
  <c r="DF31" s="1"/>
  <c r="DE17"/>
  <c r="DE32" s="1"/>
  <c r="AF7" i="356" l="1"/>
  <c r="E85" l="1"/>
  <c r="D85"/>
  <c r="G85" s="1"/>
  <c r="H85" s="1"/>
  <c r="C83"/>
  <c r="M82"/>
  <c r="C82"/>
  <c r="M81"/>
  <c r="M80"/>
  <c r="M79"/>
  <c r="E67"/>
  <c r="D67"/>
  <c r="C67"/>
  <c r="E66"/>
  <c r="E72" s="1"/>
  <c r="D66"/>
  <c r="D71" s="1"/>
  <c r="C66"/>
  <c r="C72" s="1"/>
  <c r="E65"/>
  <c r="E68" s="1"/>
  <c r="D65"/>
  <c r="D68" s="1"/>
  <c r="C65"/>
  <c r="C70" s="1"/>
  <c r="E64"/>
  <c r="D64"/>
  <c r="C64"/>
  <c r="E63"/>
  <c r="D63"/>
  <c r="C63"/>
  <c r="E60"/>
  <c r="D60"/>
  <c r="C60"/>
  <c r="E59"/>
  <c r="D59"/>
  <c r="C59"/>
  <c r="E48"/>
  <c r="E49" s="1"/>
  <c r="D48"/>
  <c r="D49" s="1"/>
  <c r="D42"/>
  <c r="E41"/>
  <c r="E40"/>
  <c r="D40"/>
  <c r="C36"/>
  <c r="C37" s="1"/>
  <c r="D24"/>
  <c r="D25" s="1"/>
  <c r="C24"/>
  <c r="C25" s="1"/>
  <c r="F19"/>
  <c r="E19"/>
  <c r="F18"/>
  <c r="E18"/>
  <c r="D17"/>
  <c r="C17"/>
  <c r="F16"/>
  <c r="E16"/>
  <c r="F15"/>
  <c r="E15"/>
  <c r="C88" s="1"/>
  <c r="E14"/>
  <c r="E13"/>
  <c r="E12"/>
  <c r="E11"/>
  <c r="E10"/>
  <c r="E9"/>
  <c r="H9" s="1"/>
  <c r="D8"/>
  <c r="E8" s="1"/>
  <c r="AG7"/>
  <c r="E7"/>
  <c r="R22"/>
  <c r="E5"/>
  <c r="N11" l="1"/>
  <c r="W11" s="1"/>
  <c r="C89"/>
  <c r="H16"/>
  <c r="M11"/>
  <c r="V11" s="1"/>
  <c r="Q11" s="1"/>
  <c r="I16"/>
  <c r="D83"/>
  <c r="E83"/>
  <c r="D82"/>
  <c r="E82"/>
  <c r="AH6"/>
  <c r="K9"/>
  <c r="J9"/>
  <c r="L9"/>
  <c r="L7"/>
  <c r="K7"/>
  <c r="J7"/>
  <c r="K10"/>
  <c r="J10"/>
  <c r="L10"/>
  <c r="L8"/>
  <c r="J8"/>
  <c r="K8"/>
  <c r="I9"/>
  <c r="L51" s="1"/>
  <c r="M13"/>
  <c r="V13" s="1"/>
  <c r="M12"/>
  <c r="V12" s="1"/>
  <c r="F17"/>
  <c r="E17"/>
  <c r="C90" s="1"/>
  <c r="C91" s="1"/>
  <c r="E6"/>
  <c r="H6" s="1"/>
  <c r="F85"/>
  <c r="R19"/>
  <c r="I7"/>
  <c r="L52" s="1"/>
  <c r="C69"/>
  <c r="E71"/>
  <c r="D70"/>
  <c r="C71"/>
  <c r="E69"/>
  <c r="D72"/>
  <c r="Q18"/>
  <c r="H8"/>
  <c r="Q19"/>
  <c r="H19"/>
  <c r="H10"/>
  <c r="K51"/>
  <c r="H7"/>
  <c r="H18"/>
  <c r="Q17"/>
  <c r="H15"/>
  <c r="G8"/>
  <c r="AH9" s="1"/>
  <c r="G9"/>
  <c r="AH10" s="1"/>
  <c r="G7"/>
  <c r="K52" s="1"/>
  <c r="G10"/>
  <c r="AH11" s="1"/>
  <c r="N13"/>
  <c r="W13" s="1"/>
  <c r="N12"/>
  <c r="W12" s="1"/>
  <c r="N14"/>
  <c r="W14" s="1"/>
  <c r="I8"/>
  <c r="R18"/>
  <c r="I19"/>
  <c r="C68"/>
  <c r="D69"/>
  <c r="E70"/>
  <c r="M14"/>
  <c r="V14" s="1"/>
  <c r="I10"/>
  <c r="I15"/>
  <c r="R17"/>
  <c r="I18"/>
  <c r="CJ16" i="295"/>
  <c r="CJ31" s="1"/>
  <c r="F83" i="356" l="1"/>
  <c r="G83"/>
  <c r="H83" s="1"/>
  <c r="G82"/>
  <c r="F82"/>
  <c r="K6"/>
  <c r="J6"/>
  <c r="L6"/>
  <c r="G6"/>
  <c r="AH7" s="1"/>
  <c r="H17"/>
  <c r="I6"/>
  <c r="C92"/>
  <c r="I17"/>
  <c r="CF17" i="295"/>
  <c r="CF32" s="1"/>
  <c r="BR17"/>
  <c r="BR32" s="1"/>
  <c r="CB16"/>
  <c r="CB31" s="1"/>
  <c r="CB17"/>
  <c r="CB32" s="1"/>
  <c r="R11" i="356"/>
  <c r="H80"/>
  <c r="R12"/>
  <c r="AC11"/>
  <c r="H81"/>
  <c r="CK16" i="295"/>
  <c r="CK31" s="1"/>
  <c r="Q12" i="356"/>
  <c r="AC12" s="1"/>
  <c r="AH8"/>
  <c r="CT16" i="295"/>
  <c r="CT31" s="1"/>
  <c r="CT17"/>
  <c r="CT32" s="1"/>
  <c r="BQ20"/>
  <c r="BR20"/>
  <c r="BS20"/>
  <c r="BT20"/>
  <c r="BU20"/>
  <c r="BV20"/>
  <c r="BW20"/>
  <c r="BX20"/>
  <c r="CF20"/>
  <c r="CG20"/>
  <c r="CH20"/>
  <c r="CI20"/>
  <c r="CJ20"/>
  <c r="CK20"/>
  <c r="CL20"/>
  <c r="CM20"/>
  <c r="AF17"/>
  <c r="AF32" s="1"/>
  <c r="H82" i="356" l="1"/>
  <c r="AY19" i="295"/>
  <c r="AY34" s="1"/>
  <c r="AY13"/>
  <c r="AY28" s="1"/>
  <c r="AY16"/>
  <c r="AY31" s="1"/>
  <c r="BZ16"/>
  <c r="BZ31" s="1"/>
  <c r="BS17"/>
  <c r="BS32" s="1"/>
  <c r="BS19"/>
  <c r="BS34" s="1"/>
  <c r="CC19"/>
  <c r="CC34" s="1"/>
  <c r="CC17"/>
  <c r="CC32" s="1"/>
  <c r="CC16"/>
  <c r="CC31" s="1"/>
  <c r="AZ16"/>
  <c r="AZ31" s="1"/>
  <c r="AZ19"/>
  <c r="AZ34" s="1"/>
  <c r="AZ14"/>
  <c r="AZ29" s="1"/>
  <c r="CG17"/>
  <c r="CG32" s="1"/>
  <c r="CQ17"/>
  <c r="CQ32" s="1"/>
  <c r="CQ19"/>
  <c r="CQ34" s="1"/>
  <c r="CQ16"/>
  <c r="CQ31" s="1"/>
  <c r="BV17"/>
  <c r="BV32" s="1"/>
  <c r="BV19"/>
  <c r="BV34" s="1"/>
  <c r="AJ19"/>
  <c r="AJ34" s="1"/>
  <c r="CL16"/>
  <c r="CL31" s="1"/>
  <c r="BZ17" l="1"/>
  <c r="BZ32" s="1"/>
  <c r="BT16"/>
  <c r="BT31" s="1"/>
  <c r="BT19"/>
  <c r="BT34" s="1"/>
  <c r="BT17"/>
  <c r="BT32" s="1"/>
  <c r="CD19"/>
  <c r="CD34" s="1"/>
  <c r="CD17"/>
  <c r="CD32" s="1"/>
  <c r="CD16"/>
  <c r="CD31" s="1"/>
  <c r="CK17"/>
  <c r="CK32" s="1"/>
  <c r="CK19"/>
  <c r="CK34" s="1"/>
  <c r="CA19"/>
  <c r="CA34" s="1"/>
  <c r="CA16"/>
  <c r="CA31" s="1"/>
  <c r="CR19"/>
  <c r="CR34" s="1"/>
  <c r="CR16"/>
  <c r="CR31" s="1"/>
  <c r="CR17"/>
  <c r="CR32" s="1"/>
  <c r="CO16"/>
  <c r="CO31" s="1"/>
  <c r="CO17"/>
  <c r="CO32" s="1"/>
  <c r="CO19"/>
  <c r="CO34" s="1"/>
  <c r="BB16"/>
  <c r="BB31" s="1"/>
  <c r="BB19"/>
  <c r="BB34" s="1"/>
  <c r="BB14"/>
  <c r="BB29" s="1"/>
  <c r="BW17"/>
  <c r="BW32" s="1"/>
  <c r="BW19"/>
  <c r="BW34" s="1"/>
  <c r="CH16"/>
  <c r="CH31" s="1"/>
  <c r="CH19"/>
  <c r="CH34" s="1"/>
  <c r="CH17"/>
  <c r="CH32" s="1"/>
  <c r="CM16"/>
  <c r="CM31" s="1"/>
  <c r="AJ16"/>
  <c r="AJ31" s="1"/>
  <c r="BZ19" l="1"/>
  <c r="BZ34" s="1"/>
  <c r="CS16"/>
  <c r="CS31" s="1"/>
  <c r="CS17"/>
  <c r="CS32" s="1"/>
  <c r="CS19"/>
  <c r="CS34" s="1"/>
  <c r="CP16"/>
  <c r="CP31" s="1"/>
  <c r="CP17"/>
  <c r="CP32" s="1"/>
  <c r="CP19"/>
  <c r="CP34" s="1"/>
  <c r="CI16"/>
  <c r="CI31" s="1"/>
  <c r="CI19"/>
  <c r="CI34" s="1"/>
  <c r="CI17"/>
  <c r="CI32" s="1"/>
  <c r="BX17"/>
  <c r="BX32" s="1"/>
  <c r="BX19"/>
  <c r="BX34" s="1"/>
  <c r="CL17"/>
  <c r="CL32" s="1"/>
  <c r="CL19"/>
  <c r="CL34" s="1"/>
  <c r="CM17" l="1"/>
  <c r="CM32" s="1"/>
  <c r="AQ17"/>
  <c r="AQ32" s="1"/>
  <c r="AN17"/>
  <c r="AN32" s="1"/>
  <c r="AN16"/>
  <c r="AN31" s="1"/>
  <c r="AG17"/>
  <c r="AG32" s="1"/>
  <c r="AG16"/>
  <c r="AG31" s="1"/>
  <c r="L11" i="355"/>
  <c r="I24"/>
  <c r="H11"/>
  <c r="H24" s="1"/>
  <c r="G11"/>
  <c r="G24" s="1"/>
  <c r="L24"/>
  <c r="AR16" i="295" l="1"/>
  <c r="AR31" s="1"/>
  <c r="AR17"/>
  <c r="AR32" s="1"/>
  <c r="AP17"/>
  <c r="AP32" s="1"/>
  <c r="AO17"/>
  <c r="AO32" s="1"/>
  <c r="AO16"/>
  <c r="AO31" s="1"/>
  <c r="AP16"/>
  <c r="AP31" s="1"/>
  <c r="BC14" l="1"/>
  <c r="BC29" s="1"/>
  <c r="BC13"/>
  <c r="BC28" s="1"/>
  <c r="BC16"/>
  <c r="BC31" s="1"/>
  <c r="BC19"/>
  <c r="BC34" s="1"/>
  <c r="AF16"/>
  <c r="AF31" s="1"/>
  <c r="DB17" l="1"/>
  <c r="DB32" s="1"/>
  <c r="CE19" l="1"/>
  <c r="CE34" s="1"/>
  <c r="CT19" l="1"/>
  <c r="CT34" s="1"/>
  <c r="EA17" l="1"/>
  <c r="EA19"/>
  <c r="EA34" s="1"/>
  <c r="EC17" l="1"/>
  <c r="EC32" s="1"/>
  <c r="EA32"/>
  <c r="EC19"/>
  <c r="EC34" s="1"/>
  <c r="EB17"/>
  <c r="EB32" s="1"/>
  <c r="EB19"/>
  <c r="EB34" s="1"/>
  <c r="DM17" l="1"/>
  <c r="DM32" s="1"/>
  <c r="DM19"/>
  <c r="DM34" s="1"/>
  <c r="O25" i="124" l="1"/>
  <c r="N8"/>
  <c r="M8"/>
  <c r="H18" i="352"/>
  <c r="I18"/>
  <c r="J18"/>
  <c r="K18"/>
  <c r="L18"/>
  <c r="G18"/>
  <c r="I12" i="236"/>
  <c r="J12"/>
  <c r="K12"/>
  <c r="L12"/>
  <c r="M12"/>
  <c r="H12"/>
  <c r="M15" i="317"/>
  <c r="L20" i="123"/>
  <c r="J20"/>
  <c r="I12" i="125"/>
  <c r="H10" i="137"/>
  <c r="I10"/>
  <c r="J10"/>
  <c r="G10"/>
  <c r="H14"/>
  <c r="I14" s="1"/>
  <c r="J14" s="1"/>
  <c r="H13"/>
  <c r="I13" s="1"/>
  <c r="J13" s="1"/>
  <c r="H12"/>
  <c r="I12" s="1"/>
  <c r="J12" s="1"/>
  <c r="I24" i="351"/>
  <c r="I23"/>
  <c r="I22"/>
  <c r="G15" i="317" l="1"/>
  <c r="N1" i="352" l="1"/>
  <c r="M1"/>
  <c r="L1"/>
  <c r="K1"/>
  <c r="J1"/>
  <c r="I1"/>
  <c r="G1"/>
  <c r="C20" i="295" l="1"/>
  <c r="I34" i="193"/>
  <c r="J34"/>
  <c r="H15" i="317" l="1"/>
  <c r="I15"/>
  <c r="J15"/>
  <c r="K15"/>
  <c r="L15"/>
  <c r="K14" i="351"/>
  <c r="G14"/>
  <c r="J13" i="350" l="1"/>
  <c r="I13"/>
  <c r="H13"/>
  <c r="G13"/>
  <c r="K13" l="1"/>
  <c r="L13"/>
  <c r="H56" i="347" l="1"/>
  <c r="M56" s="1"/>
  <c r="N56"/>
  <c r="J57"/>
  <c r="O57" s="1"/>
  <c r="F59"/>
  <c r="I59" s="1"/>
  <c r="N59" s="1"/>
  <c r="F60"/>
  <c r="I60" s="1"/>
  <c r="N60" s="1"/>
  <c r="F61"/>
  <c r="I61" s="1"/>
  <c r="N61" s="1"/>
  <c r="F62"/>
  <c r="I62" s="1"/>
  <c r="N62" s="1"/>
  <c r="F63"/>
  <c r="I63" s="1"/>
  <c r="N63" s="1"/>
  <c r="F64"/>
  <c r="I64" s="1"/>
  <c r="N64" s="1"/>
  <c r="F65"/>
  <c r="I65" s="1"/>
  <c r="N65" s="1"/>
  <c r="F66"/>
  <c r="I66" s="1"/>
  <c r="N66" s="1"/>
  <c r="F67"/>
  <c r="I67" s="1"/>
  <c r="N67" s="1"/>
  <c r="F68"/>
  <c r="I68" s="1"/>
  <c r="N68" s="1"/>
  <c r="F58"/>
  <c r="I58" s="1"/>
  <c r="F57"/>
  <c r="I57" s="1"/>
  <c r="N57" s="1"/>
  <c r="J25"/>
  <c r="O25" s="1"/>
  <c r="I36"/>
  <c r="N36" s="1"/>
  <c r="I35"/>
  <c r="N35" s="1"/>
  <c r="I34"/>
  <c r="N34" s="1"/>
  <c r="I33"/>
  <c r="N33" s="1"/>
  <c r="I32"/>
  <c r="N32" s="1"/>
  <c r="I31"/>
  <c r="N31" s="1"/>
  <c r="I30"/>
  <c r="N30" s="1"/>
  <c r="I29"/>
  <c r="N29" s="1"/>
  <c r="I28"/>
  <c r="N28" s="1"/>
  <c r="I27"/>
  <c r="N27" s="1"/>
  <c r="I26"/>
  <c r="N26" s="1"/>
  <c r="I25"/>
  <c r="N25" s="1"/>
  <c r="D26"/>
  <c r="D25"/>
  <c r="D57" s="1"/>
  <c r="H24"/>
  <c r="J43"/>
  <c r="O43" s="1"/>
  <c r="J42"/>
  <c r="O42" s="1"/>
  <c r="F52"/>
  <c r="I52" s="1"/>
  <c r="N52" s="1"/>
  <c r="F51"/>
  <c r="I51" s="1"/>
  <c r="N51" s="1"/>
  <c r="F50"/>
  <c r="I50" s="1"/>
  <c r="N50" s="1"/>
  <c r="F49"/>
  <c r="I49" s="1"/>
  <c r="N49" s="1"/>
  <c r="F48"/>
  <c r="I48" s="1"/>
  <c r="N48" s="1"/>
  <c r="F47"/>
  <c r="I47" s="1"/>
  <c r="N47" s="1"/>
  <c r="F46"/>
  <c r="I46" s="1"/>
  <c r="N46" s="1"/>
  <c r="F45"/>
  <c r="I45" s="1"/>
  <c r="N45" s="1"/>
  <c r="F44"/>
  <c r="I44" s="1"/>
  <c r="N44" s="1"/>
  <c r="F43"/>
  <c r="I43" s="1"/>
  <c r="N43" s="1"/>
  <c r="F42"/>
  <c r="I42" s="1"/>
  <c r="N42" s="1"/>
  <c r="F41"/>
  <c r="I41" s="1"/>
  <c r="N41" s="1"/>
  <c r="E42"/>
  <c r="E43"/>
  <c r="E44"/>
  <c r="D42"/>
  <c r="D41"/>
  <c r="J56"/>
  <c r="O41"/>
  <c r="O40"/>
  <c r="N40"/>
  <c r="J24"/>
  <c r="O8"/>
  <c r="J45" l="1"/>
  <c r="J61" s="1"/>
  <c r="J59"/>
  <c r="O59" s="1"/>
  <c r="J44"/>
  <c r="N58"/>
  <c r="D58"/>
  <c r="J58"/>
  <c r="O58" s="1"/>
  <c r="I20"/>
  <c r="N20" s="1"/>
  <c r="I19"/>
  <c r="N19" s="1"/>
  <c r="I18"/>
  <c r="N18" s="1"/>
  <c r="I17"/>
  <c r="N17" s="1"/>
  <c r="I16"/>
  <c r="N16" s="1"/>
  <c r="I15"/>
  <c r="N15" s="1"/>
  <c r="I14"/>
  <c r="N14" s="1"/>
  <c r="I13"/>
  <c r="N13" s="1"/>
  <c r="I12"/>
  <c r="N12" s="1"/>
  <c r="I11"/>
  <c r="N11" s="1"/>
  <c r="I10"/>
  <c r="N10" s="1"/>
  <c r="J20"/>
  <c r="J36" s="1"/>
  <c r="O36" s="1"/>
  <c r="J19"/>
  <c r="J35" s="1"/>
  <c r="O35" s="1"/>
  <c r="J18"/>
  <c r="J34" s="1"/>
  <c r="O34" s="1"/>
  <c r="J17"/>
  <c r="J33" s="1"/>
  <c r="O33" s="1"/>
  <c r="J16"/>
  <c r="J32" s="1"/>
  <c r="O32" s="1"/>
  <c r="J15"/>
  <c r="J31" s="1"/>
  <c r="O31" s="1"/>
  <c r="J14"/>
  <c r="J30" s="1"/>
  <c r="O30" s="1"/>
  <c r="J13"/>
  <c r="J29" s="1"/>
  <c r="O29" s="1"/>
  <c r="J12"/>
  <c r="J28" s="1"/>
  <c r="O28" s="1"/>
  <c r="J11"/>
  <c r="J27" s="1"/>
  <c r="O27" s="1"/>
  <c r="J10"/>
  <c r="J26" s="1"/>
  <c r="O26" s="1"/>
  <c r="I9"/>
  <c r="N9" s="1"/>
  <c r="D20"/>
  <c r="D19"/>
  <c r="D18"/>
  <c r="D17"/>
  <c r="D16"/>
  <c r="D15"/>
  <c r="D14"/>
  <c r="D13"/>
  <c r="D12"/>
  <c r="D11"/>
  <c r="N8"/>
  <c r="O9"/>
  <c r="O17" l="1"/>
  <c r="O18"/>
  <c r="O14"/>
  <c r="O13"/>
  <c r="O19"/>
  <c r="O15"/>
  <c r="O20"/>
  <c r="O11"/>
  <c r="O12"/>
  <c r="O16"/>
  <c r="J47"/>
  <c r="J63" s="1"/>
  <c r="O63" s="1"/>
  <c r="O45"/>
  <c r="J46"/>
  <c r="J62" s="1"/>
  <c r="O62" s="1"/>
  <c r="O10"/>
  <c r="D27"/>
  <c r="D43"/>
  <c r="D29"/>
  <c r="D45"/>
  <c r="D31"/>
  <c r="D47"/>
  <c r="D33"/>
  <c r="D49"/>
  <c r="D28"/>
  <c r="D44"/>
  <c r="D30"/>
  <c r="D46"/>
  <c r="D32"/>
  <c r="D48"/>
  <c r="D50"/>
  <c r="D34"/>
  <c r="D36"/>
  <c r="D52"/>
  <c r="O44"/>
  <c r="J60"/>
  <c r="O60" s="1"/>
  <c r="O61"/>
  <c r="D35"/>
  <c r="D51"/>
  <c r="O46" l="1"/>
  <c r="J48"/>
  <c r="O48" s="1"/>
  <c r="O47"/>
  <c r="J49"/>
  <c r="J65" s="1"/>
  <c r="O65" s="1"/>
  <c r="D67"/>
  <c r="D68"/>
  <c r="D64"/>
  <c r="D62"/>
  <c r="D60"/>
  <c r="D65"/>
  <c r="D63"/>
  <c r="D61"/>
  <c r="D59"/>
  <c r="D66"/>
  <c r="J64" l="1"/>
  <c r="O64" s="1"/>
  <c r="J51"/>
  <c r="J67" s="1"/>
  <c r="O67" s="1"/>
  <c r="O49"/>
  <c r="J50"/>
  <c r="O50" s="1"/>
  <c r="O51"/>
  <c r="J52" l="1"/>
  <c r="O52" s="1"/>
  <c r="J66"/>
  <c r="O66" s="1"/>
  <c r="J68" l="1"/>
  <c r="O68" s="1"/>
  <c r="ED16" i="295"/>
  <c r="ED31" s="1"/>
  <c r="ED17"/>
  <c r="ED32" s="1"/>
  <c r="ED15"/>
  <c r="ED30" s="1"/>
  <c r="ED12"/>
  <c r="ED27" s="1"/>
  <c r="K14" i="190" l="1"/>
  <c r="K15"/>
  <c r="D19" i="294" l="1"/>
  <c r="G15" i="199" l="1"/>
  <c r="J11" i="332" l="1"/>
  <c r="I11"/>
  <c r="H11"/>
  <c r="G11"/>
  <c r="L11" l="1"/>
  <c r="K11"/>
  <c r="DY17" i="295" l="1"/>
  <c r="DZ17" l="1"/>
  <c r="DZ32" s="1"/>
  <c r="DY32"/>
  <c r="C13" i="199"/>
  <c r="G21"/>
  <c r="G19" s="1"/>
  <c r="G11"/>
  <c r="G17" s="1"/>
  <c r="G10"/>
  <c r="E17" l="1"/>
  <c r="G20"/>
  <c r="H15" i="192"/>
  <c r="I15"/>
  <c r="J15"/>
  <c r="M15"/>
  <c r="L15"/>
  <c r="G15"/>
  <c r="J15" i="190"/>
  <c r="J14"/>
  <c r="I15"/>
  <c r="I14"/>
  <c r="H15"/>
  <c r="H14"/>
  <c r="G14"/>
  <c r="H12" i="125" l="1"/>
  <c r="J12"/>
  <c r="M12"/>
  <c r="N12"/>
  <c r="G12"/>
  <c r="L12" l="1"/>
  <c r="K12"/>
  <c r="D8" i="294" l="1"/>
  <c r="DQ17" i="295" l="1"/>
  <c r="DQ32" s="1"/>
  <c r="DR17" l="1"/>
  <c r="DR32" s="1"/>
  <c r="F21" i="199" l="1"/>
  <c r="F20"/>
  <c r="F17"/>
  <c r="F15"/>
  <c r="F11"/>
  <c r="F10"/>
  <c r="C21"/>
  <c r="D21" s="1"/>
  <c r="C20"/>
  <c r="D20" s="1"/>
  <c r="C17"/>
  <c r="D17" s="1"/>
  <c r="C15"/>
  <c r="D15" s="1"/>
  <c r="C11"/>
  <c r="D11" s="1"/>
  <c r="C10"/>
  <c r="D10" s="1"/>
  <c r="G7" i="317" s="1"/>
  <c r="D13" i="271" l="1"/>
  <c r="D9"/>
  <c r="F14" s="1"/>
  <c r="E13"/>
  <c r="D10"/>
  <c r="F15" s="1"/>
  <c r="E10"/>
  <c r="G15" s="1"/>
  <c r="E6"/>
  <c r="D11"/>
  <c r="F16" s="1"/>
  <c r="E12"/>
  <c r="D6"/>
  <c r="D7"/>
  <c r="D12"/>
  <c r="E7"/>
  <c r="D8"/>
  <c r="E8"/>
  <c r="E9"/>
  <c r="G14" s="1"/>
  <c r="E11"/>
  <c r="G16" s="1"/>
  <c r="H35" i="197"/>
  <c r="G35"/>
  <c r="F35"/>
  <c r="C8"/>
  <c r="J7" i="317"/>
  <c r="K8" i="121"/>
  <c r="H8" i="138"/>
  <c r="I8" s="1"/>
  <c r="C28" i="245"/>
  <c r="K37" i="193"/>
  <c r="K36"/>
  <c r="K38"/>
  <c r="K39"/>
  <c r="K40"/>
  <c r="G39"/>
  <c r="G37"/>
  <c r="G40"/>
  <c r="G38"/>
  <c r="G36"/>
  <c r="J7" i="351"/>
  <c r="J9"/>
  <c r="J11"/>
  <c r="J10"/>
  <c r="J8"/>
  <c r="J7" i="350"/>
  <c r="I7"/>
  <c r="H7"/>
  <c r="J7" i="332"/>
  <c r="G7" i="350"/>
  <c r="J6" i="332"/>
  <c r="I6"/>
  <c r="H7"/>
  <c r="H6"/>
  <c r="G7"/>
  <c r="I7"/>
  <c r="G6"/>
  <c r="L7" i="138"/>
  <c r="G8"/>
  <c r="H7" i="249"/>
  <c r="J7"/>
  <c r="M7"/>
  <c r="G7"/>
  <c r="I7"/>
  <c r="L7"/>
  <c r="K7"/>
  <c r="I7" i="358"/>
  <c r="J8" i="138"/>
  <c r="L8"/>
  <c r="G9"/>
  <c r="G10"/>
  <c r="H9"/>
  <c r="I9" s="1"/>
  <c r="H10"/>
  <c r="I10" s="1"/>
  <c r="P8" i="197"/>
  <c r="I11"/>
  <c r="J11" s="1"/>
  <c r="L11" s="1"/>
  <c r="Q8"/>
  <c r="Q11"/>
  <c r="C50" i="193"/>
  <c r="D50"/>
  <c r="N8" i="197"/>
  <c r="Q9"/>
  <c r="H50" i="193"/>
  <c r="F50"/>
  <c r="I50" s="1"/>
  <c r="C9" i="197"/>
  <c r="C10"/>
  <c r="C11"/>
  <c r="C12"/>
  <c r="Q12"/>
  <c r="P9"/>
  <c r="P10"/>
  <c r="Q10"/>
  <c r="N10"/>
  <c r="D53" i="193"/>
  <c r="N12" i="197"/>
  <c r="N9"/>
  <c r="P12"/>
  <c r="P11"/>
  <c r="J8"/>
  <c r="I8"/>
  <c r="I10"/>
  <c r="J10"/>
  <c r="F8"/>
  <c r="F9"/>
  <c r="M31" i="245"/>
  <c r="I31"/>
  <c r="E31"/>
  <c r="K19" i="193"/>
  <c r="N19" s="1"/>
  <c r="L31" i="245"/>
  <c r="D31"/>
  <c r="O31"/>
  <c r="G31"/>
  <c r="F31"/>
  <c r="P31"/>
  <c r="H31"/>
  <c r="K31"/>
  <c r="C31"/>
  <c r="N31"/>
  <c r="J31"/>
  <c r="N19" i="194"/>
  <c r="P33" i="245"/>
  <c r="L15"/>
  <c r="M33"/>
  <c r="K15"/>
  <c r="Q15"/>
  <c r="P15"/>
  <c r="N33"/>
  <c r="O15"/>
  <c r="O33"/>
  <c r="K33"/>
  <c r="L33"/>
  <c r="Q33"/>
  <c r="N15"/>
  <c r="M15"/>
  <c r="E35" i="197" l="1"/>
  <c r="C35"/>
  <c r="D35"/>
  <c r="G77" i="194"/>
  <c r="D37" i="197"/>
  <c r="C37"/>
  <c r="E37"/>
  <c r="D38"/>
  <c r="C38"/>
  <c r="E38"/>
  <c r="E39"/>
  <c r="D39"/>
  <c r="C39"/>
  <c r="D36"/>
  <c r="C36"/>
  <c r="E36"/>
  <c r="D11"/>
  <c r="F11"/>
  <c r="E11"/>
  <c r="F10"/>
  <c r="D10"/>
  <c r="E10"/>
  <c r="E9"/>
  <c r="D9"/>
  <c r="D8"/>
  <c r="E8"/>
  <c r="F12"/>
  <c r="D12"/>
  <c r="E12"/>
  <c r="K11"/>
  <c r="H9"/>
  <c r="G9"/>
  <c r="G8"/>
  <c r="H8"/>
  <c r="H77" i="194"/>
  <c r="G12" i="197" l="1"/>
  <c r="H12"/>
  <c r="H10"/>
  <c r="G10"/>
  <c r="H11"/>
  <c r="G11"/>
  <c r="C23" i="199" l="1"/>
  <c r="D23" s="1"/>
  <c r="F23"/>
  <c r="D13"/>
  <c r="F13"/>
  <c r="F19"/>
  <c r="C19"/>
  <c r="D19" s="1"/>
  <c r="K1" i="122"/>
  <c r="J1"/>
  <c r="I1"/>
  <c r="H1"/>
  <c r="G1"/>
  <c r="H1" i="235"/>
  <c r="I1"/>
  <c r="K1"/>
  <c r="G1"/>
  <c r="M1" i="220"/>
  <c r="S1" i="188"/>
  <c r="I38" i="335" l="1"/>
  <c r="E27"/>
  <c r="E38"/>
  <c r="E29"/>
  <c r="H38"/>
  <c r="F27"/>
  <c r="G29"/>
  <c r="F29"/>
  <c r="G43"/>
  <c r="H43"/>
  <c r="H29"/>
  <c r="F43"/>
  <c r="G38"/>
  <c r="F38"/>
  <c r="H27"/>
  <c r="E28"/>
  <c r="E34"/>
  <c r="G27"/>
  <c r="I27"/>
  <c r="G34"/>
  <c r="F44"/>
  <c r="H44"/>
  <c r="I29"/>
  <c r="G44"/>
  <c r="H34"/>
  <c r="F34"/>
  <c r="G28"/>
  <c r="H28"/>
  <c r="F28"/>
  <c r="I34"/>
  <c r="I28"/>
  <c r="E21"/>
  <c r="F21"/>
  <c r="F22" s="1"/>
  <c r="G6"/>
  <c r="H21"/>
  <c r="H22" s="1"/>
  <c r="F6"/>
  <c r="H6"/>
  <c r="G21"/>
  <c r="I6"/>
  <c r="I21"/>
  <c r="I22" s="1"/>
  <c r="E6"/>
  <c r="K14" i="362"/>
  <c r="K15"/>
  <c r="Q7" i="236"/>
  <c r="O7"/>
  <c r="J7"/>
  <c r="E36" i="362"/>
  <c r="E29"/>
  <c r="L28" i="122"/>
  <c r="J34"/>
  <c r="G34" i="235"/>
  <c r="N28" i="122"/>
  <c r="I28"/>
  <c r="H7" i="358"/>
  <c r="G7"/>
  <c r="G28" i="235"/>
  <c r="J28" i="122" s="1"/>
  <c r="G28"/>
  <c r="H28"/>
  <c r="P7" i="236"/>
  <c r="N7"/>
  <c r="G7"/>
  <c r="M28" i="122"/>
  <c r="K32"/>
  <c r="K30"/>
  <c r="K31"/>
  <c r="E21" i="197"/>
  <c r="L10" i="245"/>
  <c r="O10" s="1"/>
  <c r="M10"/>
  <c r="P10" s="1"/>
  <c r="L12"/>
  <c r="O12" s="1"/>
  <c r="M11"/>
  <c r="P11" s="1"/>
  <c r="M12"/>
  <c r="P12" s="1"/>
  <c r="L11"/>
  <c r="O11" s="1"/>
  <c r="L13"/>
  <c r="O13" s="1"/>
  <c r="M13"/>
  <c r="P13" s="1"/>
  <c r="H25" i="192"/>
  <c r="J25" s="1"/>
  <c r="G25"/>
  <c r="G23"/>
  <c r="M20"/>
  <c r="H24"/>
  <c r="J24" s="1"/>
  <c r="H23"/>
  <c r="J23" s="1"/>
  <c r="G24"/>
  <c r="G17" i="317"/>
  <c r="G18"/>
  <c r="H26" i="192"/>
  <c r="J26" s="1"/>
  <c r="G8" i="367"/>
  <c r="I8"/>
  <c r="K8"/>
  <c r="L8"/>
  <c r="H8"/>
  <c r="J8"/>
  <c r="D40" i="193"/>
  <c r="H40" s="1"/>
  <c r="L40" s="1"/>
  <c r="H35" i="235"/>
  <c r="K35" i="122" s="1"/>
  <c r="J35" i="235"/>
  <c r="G14" i="352"/>
  <c r="M19" i="124"/>
  <c r="O19" s="1"/>
  <c r="H30" i="352"/>
  <c r="O20" i="192"/>
  <c r="J20"/>
  <c r="J11"/>
  <c r="J9"/>
  <c r="J7"/>
  <c r="N20"/>
  <c r="M21"/>
  <c r="K20"/>
  <c r="K11"/>
  <c r="K9"/>
  <c r="K7"/>
  <c r="K8"/>
  <c r="N21"/>
  <c r="J10"/>
  <c r="J8"/>
  <c r="O21"/>
  <c r="K10"/>
  <c r="G27" i="124"/>
  <c r="G26" i="355" s="1"/>
  <c r="G26" i="124"/>
  <c r="G24" i="317"/>
  <c r="G25"/>
  <c r="J15" i="122"/>
  <c r="K15"/>
  <c r="J16"/>
  <c r="K16"/>
  <c r="K13" i="193"/>
  <c r="X11"/>
  <c r="L12"/>
  <c r="K12"/>
  <c r="C11" i="253"/>
  <c r="C14"/>
  <c r="C13"/>
  <c r="F36" i="193"/>
  <c r="J36" s="1"/>
  <c r="E36"/>
  <c r="I36" s="1"/>
  <c r="C36"/>
  <c r="H13" i="287"/>
  <c r="E13"/>
  <c r="K11" i="193"/>
  <c r="J8" i="254"/>
  <c r="I11" i="193"/>
  <c r="V38" i="365" s="1"/>
  <c r="C11" i="193"/>
  <c r="C10" i="245"/>
  <c r="N11" i="193"/>
  <c r="G11"/>
  <c r="T38" i="365" s="1"/>
  <c r="O36" i="193"/>
  <c r="D36"/>
  <c r="H36" s="1"/>
  <c r="L36" s="1"/>
  <c r="Q10" i="245"/>
  <c r="H11" i="193"/>
  <c r="U38" i="365" s="1"/>
  <c r="M11" i="193"/>
  <c r="Y11"/>
  <c r="N36"/>
  <c r="L11"/>
  <c r="C14"/>
  <c r="E16" i="287"/>
  <c r="E15"/>
  <c r="Y13" i="193"/>
  <c r="C13" i="287"/>
  <c r="S11" i="193"/>
  <c r="X38" i="365" s="1"/>
  <c r="F11" i="193"/>
  <c r="S38" i="365" s="1"/>
  <c r="E39" i="193"/>
  <c r="I39" s="1"/>
  <c r="J11" i="254"/>
  <c r="H13" i="193"/>
  <c r="U40" i="365" s="1"/>
  <c r="P11" i="193"/>
  <c r="F38"/>
  <c r="H12"/>
  <c r="U39" i="365" s="1"/>
  <c r="Y14" i="193"/>
  <c r="D39"/>
  <c r="H39" s="1"/>
  <c r="L39" s="1"/>
  <c r="J10" i="254"/>
  <c r="G14" i="193"/>
  <c r="T41" i="365" s="1"/>
  <c r="D38" i="193"/>
  <c r="F39"/>
  <c r="J39" s="1"/>
  <c r="H16" i="287"/>
  <c r="C13" i="193"/>
  <c r="C38"/>
  <c r="C39"/>
  <c r="Y12"/>
  <c r="H14"/>
  <c r="U41" i="365" s="1"/>
  <c r="I14" i="193"/>
  <c r="V41" i="365" s="1"/>
  <c r="H15" i="193"/>
  <c r="U42" i="365" s="1"/>
  <c r="S14" i="193"/>
  <c r="O11"/>
  <c r="C16" i="287"/>
  <c r="M11" i="253"/>
  <c r="E11" i="193"/>
  <c r="R38" i="365" s="1"/>
  <c r="Q11" i="193"/>
  <c r="F13"/>
  <c r="S40" i="365" s="1"/>
  <c r="F14" i="193"/>
  <c r="S41" i="365" s="1"/>
  <c r="E13" i="193"/>
  <c r="M14" i="253"/>
  <c r="D13" i="287"/>
  <c r="D10" i="245"/>
  <c r="F10"/>
  <c r="E12" i="193"/>
  <c r="R39" i="365" s="1"/>
  <c r="E10" i="245"/>
  <c r="H15" i="287"/>
  <c r="E14" i="193"/>
  <c r="D16" i="287"/>
  <c r="F16" s="1"/>
  <c r="D11" i="245"/>
  <c r="D13"/>
  <c r="E11"/>
  <c r="D17" i="287"/>
  <c r="F17" s="1"/>
  <c r="C12" i="193"/>
  <c r="G12"/>
  <c r="T39" i="365" s="1"/>
  <c r="D15" i="287"/>
  <c r="C40" i="193"/>
  <c r="C15"/>
  <c r="D12" i="194"/>
  <c r="G12"/>
  <c r="E12"/>
  <c r="C12"/>
  <c r="I12"/>
  <c r="H12"/>
  <c r="J12"/>
  <c r="F12"/>
  <c r="O12"/>
  <c r="O13"/>
  <c r="C13"/>
  <c r="H14"/>
  <c r="K14"/>
  <c r="K13"/>
  <c r="L13"/>
  <c r="J14"/>
  <c r="F13"/>
  <c r="O15"/>
  <c r="J13"/>
  <c r="I13"/>
  <c r="K15"/>
  <c r="G13"/>
  <c r="C14"/>
  <c r="I11" i="253"/>
  <c r="C13" i="245"/>
  <c r="H10"/>
  <c r="J10"/>
  <c r="J11" i="253"/>
  <c r="I8" i="254"/>
  <c r="I10" i="245"/>
  <c r="H8" i="254"/>
  <c r="S12" i="193"/>
  <c r="X39" i="365" s="1"/>
  <c r="K11" i="253"/>
  <c r="G10" i="245"/>
  <c r="J12" i="254"/>
  <c r="E14" i="287"/>
  <c r="G11" i="253"/>
  <c r="Y15" i="193"/>
  <c r="D14" i="287"/>
  <c r="F14" s="1"/>
  <c r="H11" i="253"/>
  <c r="K10" i="245"/>
  <c r="G8" i="254"/>
  <c r="M8" i="253"/>
  <c r="H11" i="254"/>
  <c r="G13" i="193"/>
  <c r="T40" i="365" s="1"/>
  <c r="M15" i="253"/>
  <c r="K11" i="245"/>
  <c r="N11" i="253"/>
  <c r="C17" i="287"/>
  <c r="C14"/>
  <c r="I15" i="193"/>
  <c r="V42" i="365" s="1"/>
  <c r="I11" i="254"/>
  <c r="C11" i="245"/>
  <c r="K13"/>
  <c r="K12"/>
  <c r="G12"/>
  <c r="F37" i="193"/>
  <c r="E15"/>
  <c r="R42" i="365" s="1"/>
  <c r="G13" i="245"/>
  <c r="H12" i="254"/>
  <c r="G11"/>
  <c r="J13" i="193"/>
  <c r="E40"/>
  <c r="D37"/>
  <c r="H13" i="253"/>
  <c r="H14" i="287"/>
  <c r="G15" i="193"/>
  <c r="T42" i="365" s="1"/>
  <c r="S15" i="193"/>
  <c r="X42" i="365" s="1"/>
  <c r="C15" i="287"/>
  <c r="E38" i="193"/>
  <c r="I12"/>
  <c r="V39" i="365" s="1"/>
  <c r="G13" i="253"/>
  <c r="I10" i="254"/>
  <c r="N10" i="245"/>
  <c r="J9" i="254"/>
  <c r="I13" i="193"/>
  <c r="V40" i="365" s="1"/>
  <c r="H17" i="287"/>
  <c r="E37" i="193"/>
  <c r="J15"/>
  <c r="F15"/>
  <c r="S42" i="365" s="1"/>
  <c r="H10" i="254"/>
  <c r="G12"/>
  <c r="C37" i="193"/>
  <c r="J12"/>
  <c r="F40"/>
  <c r="J40" s="1"/>
  <c r="F12"/>
  <c r="S39" i="365" s="1"/>
  <c r="N12" i="253"/>
  <c r="D11"/>
  <c r="N8"/>
  <c r="N15"/>
  <c r="F11"/>
  <c r="M12"/>
  <c r="N13" i="245"/>
  <c r="M13" i="253"/>
  <c r="E11"/>
  <c r="R11" i="193"/>
  <c r="W38" i="365" s="1"/>
  <c r="N13" i="253"/>
  <c r="N14"/>
  <c r="D14"/>
  <c r="E14"/>
  <c r="T11" i="193"/>
  <c r="Y38" i="365" s="1"/>
  <c r="R13" i="193"/>
  <c r="W40" i="365" s="1"/>
  <c r="R12" i="193"/>
  <c r="W39" i="365" s="1"/>
  <c r="R14" i="193"/>
  <c r="W41" i="365" s="1"/>
  <c r="C12" i="253"/>
  <c r="D13"/>
  <c r="E13"/>
  <c r="T12" i="193"/>
  <c r="Y39" i="365" s="1"/>
  <c r="F8" i="254"/>
  <c r="T14" i="193"/>
  <c r="Y41" i="365" s="1"/>
  <c r="E8" i="254"/>
  <c r="F11"/>
  <c r="E11"/>
  <c r="E10"/>
  <c r="P12" i="194"/>
  <c r="F10" i="254"/>
  <c r="E9"/>
  <c r="P14" i="194"/>
  <c r="P15"/>
  <c r="P13"/>
  <c r="D8" i="254"/>
  <c r="D11"/>
  <c r="D10"/>
  <c r="X13" i="193"/>
  <c r="X15"/>
  <c r="X12"/>
  <c r="X14"/>
  <c r="T15"/>
  <c r="Y42" i="365" s="1"/>
  <c r="T13" i="193"/>
  <c r="R15"/>
  <c r="C12" i="245"/>
  <c r="E13" i="194"/>
  <c r="C15"/>
  <c r="D9" i="254"/>
  <c r="D12"/>
  <c r="D15" i="194"/>
  <c r="E14"/>
  <c r="G14"/>
  <c r="E17" i="287"/>
  <c r="O14" i="194"/>
  <c r="E12" i="254"/>
  <c r="G10"/>
  <c r="F9"/>
  <c r="D13" i="194"/>
  <c r="E15"/>
  <c r="D14"/>
  <c r="G9" i="254"/>
  <c r="L15" i="194"/>
  <c r="C15" i="253"/>
  <c r="I9" i="254"/>
  <c r="I12"/>
  <c r="F14" i="194"/>
  <c r="F15"/>
  <c r="M15"/>
  <c r="F12" i="254"/>
  <c r="S13" i="193"/>
  <c r="X40" i="365" s="1"/>
  <c r="H9" i="254"/>
  <c r="F12" i="253"/>
  <c r="F15"/>
  <c r="F13"/>
  <c r="H13" i="194"/>
  <c r="M13"/>
  <c r="M14"/>
  <c r="L14"/>
  <c r="N11" i="245"/>
  <c r="D12"/>
  <c r="N12"/>
  <c r="E15" i="253"/>
  <c r="E12" i="245"/>
  <c r="D15" i="253"/>
  <c r="H12" i="245"/>
  <c r="E13"/>
  <c r="E12" i="253"/>
  <c r="H13" i="245"/>
  <c r="D12" i="253"/>
  <c r="F11" i="245"/>
  <c r="I12"/>
  <c r="G15" i="253"/>
  <c r="I13" i="245"/>
  <c r="F13"/>
  <c r="F12"/>
  <c r="G12" i="253"/>
  <c r="J13" i="245"/>
  <c r="J12"/>
  <c r="H15" i="253"/>
  <c r="H12"/>
  <c r="I14" i="194"/>
  <c r="I34" i="235"/>
  <c r="G7"/>
  <c r="M21" i="124"/>
  <c r="H21"/>
  <c r="H20" i="355" s="1"/>
  <c r="L20" s="1"/>
  <c r="H26" i="249"/>
  <c r="G21" i="125"/>
  <c r="N21" s="1"/>
  <c r="K24" i="190"/>
  <c r="H7" i="137"/>
  <c r="I24" i="235"/>
  <c r="L29" i="352"/>
  <c r="H20" i="236"/>
  <c r="O20" s="1"/>
  <c r="Q20" s="1"/>
  <c r="L22" i="124"/>
  <c r="I21" i="355" s="1"/>
  <c r="H15" i="124"/>
  <c r="H14" i="355" s="1"/>
  <c r="L14" s="1"/>
  <c r="G26" i="249"/>
  <c r="G15" i="125"/>
  <c r="N15" s="1"/>
  <c r="K21" i="190"/>
  <c r="K22" s="1"/>
  <c r="G8" i="137"/>
  <c r="I20" i="192"/>
  <c r="K22" i="124"/>
  <c r="J29" i="352"/>
  <c r="I6" i="122"/>
  <c r="H19" i="236"/>
  <c r="L21" i="124"/>
  <c r="I20" i="355" s="1"/>
  <c r="G21" i="124"/>
  <c r="J22" i="125"/>
  <c r="K7" i="190"/>
  <c r="G7" i="137"/>
  <c r="L7" i="236"/>
  <c r="K23" i="192"/>
  <c r="H34" i="235"/>
  <c r="K34" i="122" s="1"/>
  <c r="H29" i="352"/>
  <c r="H6" i="122"/>
  <c r="H17" i="236"/>
  <c r="L15" i="124"/>
  <c r="I14" i="355" s="1"/>
  <c r="G15" i="124"/>
  <c r="G14" i="355" s="1"/>
  <c r="J21" i="125"/>
  <c r="H21" i="192"/>
  <c r="K25"/>
  <c r="I9"/>
  <c r="H24" i="235"/>
  <c r="K7" i="236"/>
  <c r="K21" i="124"/>
  <c r="I7"/>
  <c r="M6" i="310"/>
  <c r="I22" i="125"/>
  <c r="G21" i="192"/>
  <c r="K24"/>
  <c r="G9"/>
  <c r="I7"/>
  <c r="G24" i="235"/>
  <c r="J22" i="124"/>
  <c r="H7"/>
  <c r="L6" i="310"/>
  <c r="I21" i="125"/>
  <c r="G20" i="192"/>
  <c r="G7"/>
  <c r="G10" i="317"/>
  <c r="G6" i="255"/>
  <c r="I7" i="236"/>
  <c r="J21" i="124"/>
  <c r="G7"/>
  <c r="K6" i="310"/>
  <c r="I15" i="125"/>
  <c r="M26" i="192"/>
  <c r="K34" i="235"/>
  <c r="H7" i="236"/>
  <c r="I22" i="124"/>
  <c r="G6" i="355"/>
  <c r="J6" i="310"/>
  <c r="H22" i="125"/>
  <c r="M22" s="1"/>
  <c r="G22" i="317"/>
  <c r="M25" i="192"/>
  <c r="G8" i="317"/>
  <c r="L9" i="192"/>
  <c r="G7" i="121"/>
  <c r="N22" i="124"/>
  <c r="O22" s="1"/>
  <c r="I21"/>
  <c r="K26" i="249"/>
  <c r="I6" i="310"/>
  <c r="H21" i="125"/>
  <c r="M21" s="1"/>
  <c r="H7" i="190"/>
  <c r="I2" i="371" s="1"/>
  <c r="I3" s="1"/>
  <c r="G21" i="317"/>
  <c r="M24" i="192"/>
  <c r="K26"/>
  <c r="I21" i="190"/>
  <c r="I22" s="1"/>
  <c r="J34" i="235"/>
  <c r="N21" i="124"/>
  <c r="I15"/>
  <c r="J26" i="249"/>
  <c r="H6" i="310"/>
  <c r="H15" i="125"/>
  <c r="K26" i="190"/>
  <c r="J7" i="137"/>
  <c r="G19" i="317"/>
  <c r="M23" i="192"/>
  <c r="L7"/>
  <c r="G6" i="122"/>
  <c r="J15" i="125"/>
  <c r="O8" i="294"/>
  <c r="I35" i="235"/>
  <c r="M22" i="124"/>
  <c r="H22"/>
  <c r="H21" i="355" s="1"/>
  <c r="L21" s="1"/>
  <c r="I26" i="249"/>
  <c r="I25" i="310" s="1"/>
  <c r="G6"/>
  <c r="G22" i="125"/>
  <c r="N22" s="1"/>
  <c r="K25" i="190"/>
  <c r="H23" s="1"/>
  <c r="H8" i="137"/>
  <c r="L7" i="124"/>
  <c r="H20" i="192"/>
  <c r="N7" i="125"/>
  <c r="G7"/>
  <c r="H7" i="192"/>
  <c r="G7" i="351"/>
  <c r="M7" i="125"/>
  <c r="I8" i="121"/>
  <c r="G8" i="125"/>
  <c r="J7"/>
  <c r="H7" i="123"/>
  <c r="K7"/>
  <c r="H8" i="125"/>
  <c r="I7"/>
  <c r="H8" i="121"/>
  <c r="J8"/>
  <c r="J8" i="125"/>
  <c r="I8"/>
  <c r="H7"/>
  <c r="I7" i="123"/>
  <c r="G7"/>
  <c r="J6" i="122"/>
  <c r="M6"/>
  <c r="M7" i="236"/>
  <c r="I9" i="121"/>
  <c r="H9"/>
  <c r="J9"/>
  <c r="J10" s="1"/>
  <c r="H7" i="235"/>
  <c r="G9" i="190"/>
  <c r="I9"/>
  <c r="J9"/>
  <c r="H9" i="192"/>
  <c r="G11" i="317"/>
  <c r="G11" i="192"/>
  <c r="G8" i="124"/>
  <c r="G12" i="317"/>
  <c r="L8" i="124"/>
  <c r="I6"/>
  <c r="I8"/>
  <c r="G9" i="317"/>
  <c r="G8" i="235"/>
  <c r="L10" i="192"/>
  <c r="H6" i="124"/>
  <c r="H8"/>
  <c r="G8" i="192"/>
  <c r="H9" i="190"/>
  <c r="G10" i="192"/>
  <c r="G6" i="124"/>
  <c r="I11" i="192"/>
  <c r="I7" i="235"/>
  <c r="I10" i="192"/>
  <c r="L6" i="124"/>
  <c r="G9" i="351"/>
  <c r="G10" i="190"/>
  <c r="G6" i="235"/>
  <c r="I8" i="192"/>
  <c r="O7" i="124"/>
  <c r="G8" i="352"/>
  <c r="L8" i="192"/>
  <c r="L11"/>
  <c r="G8" i="190"/>
  <c r="G10" i="351"/>
  <c r="H10" i="192"/>
  <c r="H8" i="235"/>
  <c r="I8" i="190"/>
  <c r="J8"/>
  <c r="H8"/>
  <c r="I10"/>
  <c r="G8" i="351"/>
  <c r="H6" i="235"/>
  <c r="K9" i="190"/>
  <c r="J10"/>
  <c r="O6" i="124"/>
  <c r="I8" i="352"/>
  <c r="O8" i="124"/>
  <c r="G11" i="351"/>
  <c r="H10" i="190"/>
  <c r="H11" i="192"/>
  <c r="H8"/>
  <c r="K8" i="190"/>
  <c r="I6" i="235"/>
  <c r="I8"/>
  <c r="K8" i="352"/>
  <c r="G7"/>
  <c r="K10" i="190"/>
  <c r="J8" i="352"/>
  <c r="G9"/>
  <c r="K7"/>
  <c r="J7"/>
  <c r="I9"/>
  <c r="I7"/>
  <c r="L8"/>
  <c r="L7"/>
  <c r="K9"/>
  <c r="J9"/>
  <c r="L9"/>
  <c r="F39" i="335"/>
  <c r="G25" i="235"/>
  <c r="J25" i="122" s="1"/>
  <c r="G16" i="124"/>
  <c r="G15" i="355" s="1"/>
  <c r="G16" i="125"/>
  <c r="N16" s="1"/>
  <c r="K35" i="235"/>
  <c r="I25"/>
  <c r="L16" i="124"/>
  <c r="I15" i="355" s="1"/>
  <c r="H25" i="235"/>
  <c r="K25" i="122" s="1"/>
  <c r="I16" i="124"/>
  <c r="H16"/>
  <c r="H15" i="355" s="1"/>
  <c r="L15" s="1"/>
  <c r="G17" i="124"/>
  <c r="G16" i="355" s="1"/>
  <c r="L17" i="124"/>
  <c r="I16" i="355" s="1"/>
  <c r="G26" i="235"/>
  <c r="J26" i="122" s="1"/>
  <c r="I17" i="124"/>
  <c r="J24" i="235"/>
  <c r="N15" i="124"/>
  <c r="K14" i="355" s="1"/>
  <c r="K15" i="124"/>
  <c r="J15"/>
  <c r="M15"/>
  <c r="K24" i="235"/>
  <c r="K15" i="125"/>
  <c r="H26" i="235"/>
  <c r="K26" i="122" s="1"/>
  <c r="H17" i="124"/>
  <c r="H16" i="355" s="1"/>
  <c r="L16" s="1"/>
  <c r="I26" i="235"/>
  <c r="G26" i="192"/>
  <c r="I27" i="235"/>
  <c r="G17"/>
  <c r="G15" i="249"/>
  <c r="G14" i="310" s="1"/>
  <c r="K16" i="124"/>
  <c r="K26" i="235"/>
  <c r="H19" i="190"/>
  <c r="H18" i="125"/>
  <c r="G15" i="122"/>
  <c r="M16" i="124"/>
  <c r="N17"/>
  <c r="K16" i="355" s="1"/>
  <c r="H20" i="190"/>
  <c r="H27" i="235"/>
  <c r="G16" i="249"/>
  <c r="G16" i="123" s="1"/>
  <c r="J17" i="124"/>
  <c r="H21" i="190"/>
  <c r="H22" s="1"/>
  <c r="H18" i="124"/>
  <c r="H17" i="355" s="1"/>
  <c r="L17" s="1"/>
  <c r="I28" i="235"/>
  <c r="K25"/>
  <c r="H16" i="122"/>
  <c r="H15"/>
  <c r="G18" i="124"/>
  <c r="G17" i="355" s="1"/>
  <c r="H19" i="125"/>
  <c r="N16" i="124"/>
  <c r="K15" i="355" s="1"/>
  <c r="H16" i="249"/>
  <c r="H16" i="123" s="1"/>
  <c r="G19" i="125"/>
  <c r="H16" i="235"/>
  <c r="G27"/>
  <c r="H28"/>
  <c r="J16" i="124"/>
  <c r="H17" i="235"/>
  <c r="G19" i="124"/>
  <c r="G18" i="355" s="1"/>
  <c r="G13" i="352"/>
  <c r="G18" i="125"/>
  <c r="H19" i="124"/>
  <c r="H18" i="355" s="1"/>
  <c r="L18" s="1"/>
  <c r="I18" i="124"/>
  <c r="I15" i="122"/>
  <c r="I19" i="124"/>
  <c r="K20" i="190"/>
  <c r="I18" i="125"/>
  <c r="I16" i="122"/>
  <c r="H26" i="124"/>
  <c r="H25" i="355" s="1"/>
  <c r="I19" i="125"/>
  <c r="K19" i="190"/>
  <c r="L18" i="124"/>
  <c r="I17" i="355" s="1"/>
  <c r="I16" i="249"/>
  <c r="I15" i="310" s="1"/>
  <c r="H15" i="249"/>
  <c r="L19" i="124"/>
  <c r="I18" i="355" s="1"/>
  <c r="G16" i="235"/>
  <c r="J18" i="125"/>
  <c r="M17" i="124"/>
  <c r="I15" i="249"/>
  <c r="I14" i="310" s="1"/>
  <c r="J19" i="125"/>
  <c r="J26" i="235"/>
  <c r="G16" i="122"/>
  <c r="J25" i="235"/>
  <c r="K17" i="124"/>
  <c r="K19" i="125"/>
  <c r="H24" i="249"/>
  <c r="H23" i="310" s="1"/>
  <c r="J28" i="235"/>
  <c r="I24" i="249"/>
  <c r="N19" i="124"/>
  <c r="K18" i="355" s="1"/>
  <c r="J19" i="124"/>
  <c r="K28" i="235"/>
  <c r="K24" i="249"/>
  <c r="N18" i="124"/>
  <c r="K17" i="355" s="1"/>
  <c r="J24" i="249"/>
  <c r="J23" i="310" s="1"/>
  <c r="K27" i="235"/>
  <c r="G24" i="249"/>
  <c r="G23" i="310" s="1"/>
  <c r="J18" i="124"/>
  <c r="J27" i="235"/>
  <c r="K19" i="124"/>
  <c r="M18"/>
  <c r="M18" i="355"/>
  <c r="K18" i="124"/>
  <c r="K18" i="125"/>
  <c r="K20" i="355"/>
  <c r="C10" i="253"/>
  <c r="E11" i="287"/>
  <c r="C9" i="253"/>
  <c r="C12" i="287"/>
  <c r="C11"/>
  <c r="M12" i="193"/>
  <c r="I40"/>
  <c r="H12" i="287"/>
  <c r="H11"/>
  <c r="D12"/>
  <c r="F12" s="1"/>
  <c r="D11"/>
  <c r="E12"/>
  <c r="P9" i="253"/>
  <c r="C53" i="193"/>
  <c r="G50"/>
  <c r="G53"/>
  <c r="E50"/>
  <c r="E53"/>
  <c r="G26" i="317"/>
  <c r="N15" i="194"/>
  <c r="N14"/>
  <c r="H16" i="236"/>
  <c r="J19" i="193"/>
  <c r="G10" i="253"/>
  <c r="C9" i="245"/>
  <c r="M15" i="193"/>
  <c r="F10" i="253"/>
  <c r="F9" i="245"/>
  <c r="N15" i="193"/>
  <c r="E10" i="253"/>
  <c r="E9" i="245"/>
  <c r="K15" i="193"/>
  <c r="H10" i="253"/>
  <c r="D10"/>
  <c r="D9" i="245"/>
  <c r="L15" i="193"/>
  <c r="J11" i="122"/>
  <c r="H11"/>
  <c r="K11"/>
  <c r="G11"/>
  <c r="L11"/>
  <c r="I11"/>
  <c r="M11"/>
  <c r="H16" i="125"/>
  <c r="M16" s="1"/>
  <c r="I17"/>
  <c r="J16"/>
  <c r="G17"/>
  <c r="N17" s="1"/>
  <c r="I16"/>
  <c r="H17"/>
  <c r="J17"/>
  <c r="K16"/>
  <c r="H27" i="124"/>
  <c r="H26" i="355" s="1"/>
  <c r="H15" i="123"/>
  <c r="K17" i="125"/>
  <c r="G25" i="355"/>
  <c r="J30" i="352"/>
  <c r="L30"/>
  <c r="K12" i="194"/>
  <c r="L12"/>
  <c r="M12"/>
  <c r="Q8" i="245"/>
  <c r="Q9" s="1"/>
  <c r="K27" i="352"/>
  <c r="I27"/>
  <c r="L18" i="193"/>
  <c r="L19"/>
  <c r="O19" i="194"/>
  <c r="I18" i="193"/>
  <c r="P19" i="194"/>
  <c r="I19" i="193"/>
  <c r="G23" i="352"/>
  <c r="K23"/>
  <c r="I23"/>
  <c r="I26"/>
  <c r="K26"/>
  <c r="I7" i="190"/>
  <c r="G27" i="352"/>
  <c r="G26"/>
  <c r="U12" i="193"/>
  <c r="M13"/>
  <c r="M14" s="1"/>
  <c r="N12"/>
  <c r="L13"/>
  <c r="L14" s="1"/>
  <c r="N13"/>
  <c r="N14" s="1"/>
  <c r="Q11" i="245"/>
  <c r="Q12"/>
  <c r="Q13" s="1"/>
  <c r="K10" i="194"/>
  <c r="K11" s="1"/>
  <c r="M10"/>
  <c r="M11" s="1"/>
  <c r="G10"/>
  <c r="G11" s="1"/>
  <c r="H10"/>
  <c r="H11" s="1"/>
  <c r="L10"/>
  <c r="L11" s="1"/>
  <c r="C8" i="245"/>
  <c r="I10" i="194"/>
  <c r="J10"/>
  <c r="J11" s="1"/>
  <c r="P10"/>
  <c r="P11" s="1"/>
  <c r="C10"/>
  <c r="C11" s="1"/>
  <c r="E10"/>
  <c r="E11" s="1"/>
  <c r="D10"/>
  <c r="D11" s="1"/>
  <c r="F9" i="253"/>
  <c r="D9"/>
  <c r="N10" i="194"/>
  <c r="N11" s="1"/>
  <c r="O10"/>
  <c r="O11" s="1"/>
  <c r="G9" i="253"/>
  <c r="F10" i="194"/>
  <c r="F11" s="1"/>
  <c r="E9" i="253"/>
  <c r="H9"/>
  <c r="N13" i="194"/>
  <c r="G23" i="317"/>
  <c r="K30" i="235"/>
  <c r="H30"/>
  <c r="K32"/>
  <c r="I32"/>
  <c r="G32"/>
  <c r="G30"/>
  <c r="H32"/>
  <c r="I30"/>
  <c r="I31"/>
  <c r="H31"/>
  <c r="G31"/>
  <c r="K31"/>
  <c r="J19" i="194"/>
  <c r="I19"/>
  <c r="K19"/>
  <c r="H54" i="193"/>
  <c r="I15" i="245"/>
  <c r="Q26"/>
  <c r="Q27" s="1"/>
  <c r="G54" i="193"/>
  <c r="X19"/>
  <c r="Q29" i="245"/>
  <c r="H33"/>
  <c r="I33"/>
  <c r="D33"/>
  <c r="G19" i="193"/>
  <c r="F19"/>
  <c r="D18"/>
  <c r="J33" i="245"/>
  <c r="D15"/>
  <c r="E15"/>
  <c r="G33"/>
  <c r="M19" i="194"/>
  <c r="E19"/>
  <c r="E19" i="193"/>
  <c r="M18"/>
  <c r="T19"/>
  <c r="D19"/>
  <c r="J15" i="245"/>
  <c r="H15"/>
  <c r="E33"/>
  <c r="C15"/>
  <c r="F15"/>
  <c r="Y19" i="193"/>
  <c r="F19" i="194"/>
  <c r="S19" i="193"/>
  <c r="G18"/>
  <c r="R19"/>
  <c r="C18"/>
  <c r="H18"/>
  <c r="C54"/>
  <c r="F33" i="245"/>
  <c r="D19" i="194"/>
  <c r="C19" i="193"/>
  <c r="F18"/>
  <c r="Q30" i="245"/>
  <c r="Q31" s="1"/>
  <c r="G15"/>
  <c r="C19" i="194"/>
  <c r="E18" i="193"/>
  <c r="H19"/>
  <c r="M19"/>
  <c r="C33" i="245"/>
  <c r="E54" i="193"/>
  <c r="H18" i="350" l="1"/>
  <c r="M17" i="125"/>
  <c r="H19" i="350"/>
  <c r="M18" i="125"/>
  <c r="F16" i="335"/>
  <c r="F7"/>
  <c r="F12"/>
  <c r="F14"/>
  <c r="F8"/>
  <c r="F9" s="1"/>
  <c r="F10"/>
  <c r="F11"/>
  <c r="F13"/>
  <c r="F15"/>
  <c r="H20" i="350"/>
  <c r="M19" i="125"/>
  <c r="I15" i="335"/>
  <c r="I11"/>
  <c r="I8"/>
  <c r="I9" s="1"/>
  <c r="I16"/>
  <c r="I10"/>
  <c r="I13"/>
  <c r="I12"/>
  <c r="I7"/>
  <c r="I14"/>
  <c r="G19" i="350"/>
  <c r="N18" i="125"/>
  <c r="G20" i="350"/>
  <c r="N19" i="125"/>
  <c r="G14" i="335"/>
  <c r="G12"/>
  <c r="G10"/>
  <c r="G16"/>
  <c r="G7"/>
  <c r="G8"/>
  <c r="G9" s="1"/>
  <c r="G11"/>
  <c r="G15"/>
  <c r="G13"/>
  <c r="H16" i="350"/>
  <c r="M15" i="125"/>
  <c r="O19" i="236"/>
  <c r="Q19" s="1"/>
  <c r="M19"/>
  <c r="H12" i="335"/>
  <c r="H7"/>
  <c r="H15"/>
  <c r="H13"/>
  <c r="H10"/>
  <c r="H16"/>
  <c r="H11"/>
  <c r="H8"/>
  <c r="H9" s="1"/>
  <c r="H14"/>
  <c r="E9"/>
  <c r="E16"/>
  <c r="E8"/>
  <c r="E15"/>
  <c r="E13"/>
  <c r="E12"/>
  <c r="E11"/>
  <c r="E7"/>
  <c r="E10"/>
  <c r="E14"/>
  <c r="D7" i="270"/>
  <c r="H19" i="371"/>
  <c r="G24"/>
  <c r="D12" i="270" s="1"/>
  <c r="G28" i="371"/>
  <c r="D16" i="270" s="1"/>
  <c r="J19" i="371"/>
  <c r="G26"/>
  <c r="D14" i="270" s="1"/>
  <c r="R19" i="371"/>
  <c r="G27"/>
  <c r="D15" i="270" s="1"/>
  <c r="O19" i="371"/>
  <c r="I19"/>
  <c r="G22"/>
  <c r="D10" i="270" s="1"/>
  <c r="G25" i="371"/>
  <c r="D13" i="270" s="1"/>
  <c r="G21" i="371"/>
  <c r="D9" i="270" s="1"/>
  <c r="K19" i="371"/>
  <c r="G20"/>
  <c r="D8" i="270" s="1"/>
  <c r="G23" i="371"/>
  <c r="D11" i="270" s="1"/>
  <c r="Q4" i="365"/>
  <c r="U15" i="193"/>
  <c r="W42" i="365"/>
  <c r="W13" i="193"/>
  <c r="Y40" i="365"/>
  <c r="P41"/>
  <c r="P42"/>
  <c r="D12" i="193"/>
  <c r="D30" i="363" s="1"/>
  <c r="P40" i="365"/>
  <c r="P38"/>
  <c r="D14" i="193"/>
  <c r="R41" i="365"/>
  <c r="D13" i="193"/>
  <c r="R40" i="365"/>
  <c r="M39" i="193"/>
  <c r="X41" i="365"/>
  <c r="P39"/>
  <c r="B8" i="368"/>
  <c r="B11"/>
  <c r="E22" i="335"/>
  <c r="G22"/>
  <c r="O17" i="236"/>
  <c r="K17"/>
  <c r="Q17"/>
  <c r="K28" i="122"/>
  <c r="J8" i="317"/>
  <c r="C11" i="368" s="1"/>
  <c r="C8"/>
  <c r="J10" i="317"/>
  <c r="F11" i="368" s="1"/>
  <c r="F8"/>
  <c r="J9" i="317"/>
  <c r="E11" i="368" s="1"/>
  <c r="E8"/>
  <c r="J12" i="317"/>
  <c r="H11" i="368" s="1"/>
  <c r="H8"/>
  <c r="K24" i="122"/>
  <c r="J27"/>
  <c r="K27"/>
  <c r="J11" i="317"/>
  <c r="G11" i="368" s="1"/>
  <c r="G8"/>
  <c r="J24" i="122"/>
  <c r="K22" i="125"/>
  <c r="K7" i="317"/>
  <c r="B12" i="368" s="1"/>
  <c r="H19" i="317"/>
  <c r="I19" s="1"/>
  <c r="L19" s="1"/>
  <c r="F19" i="363"/>
  <c r="F19" i="364" s="1"/>
  <c r="F20" i="363"/>
  <c r="V20" s="1"/>
  <c r="F18"/>
  <c r="V18" s="1"/>
  <c r="F8"/>
  <c r="F8" i="364" s="1"/>
  <c r="J20" i="236"/>
  <c r="I20"/>
  <c r="L20" s="1"/>
  <c r="D8" i="363"/>
  <c r="I17" i="236"/>
  <c r="J17"/>
  <c r="H18" i="317"/>
  <c r="F21" i="363"/>
  <c r="F14"/>
  <c r="E8"/>
  <c r="F22"/>
  <c r="G39" i="335"/>
  <c r="H39"/>
  <c r="L21" i="352"/>
  <c r="O10" i="294"/>
  <c r="H9" i="317" s="1"/>
  <c r="E9" i="368" s="1"/>
  <c r="H7" i="317"/>
  <c r="B9" i="368" s="1"/>
  <c r="O13" i="294"/>
  <c r="H12" i="317" s="1"/>
  <c r="H9" i="368" s="1"/>
  <c r="O9" i="294"/>
  <c r="H8" i="317" s="1"/>
  <c r="C9" i="368" s="1"/>
  <c r="O11" i="294"/>
  <c r="H10" i="317" s="1"/>
  <c r="F9" i="368" s="1"/>
  <c r="O12" i="294"/>
  <c r="H11" i="317" s="1"/>
  <c r="G9" i="368" s="1"/>
  <c r="E81" i="363"/>
  <c r="E82"/>
  <c r="E14"/>
  <c r="E52"/>
  <c r="E77"/>
  <c r="E48"/>
  <c r="E28"/>
  <c r="E30"/>
  <c r="E22"/>
  <c r="E79"/>
  <c r="E32"/>
  <c r="E20"/>
  <c r="E31"/>
  <c r="K21" i="125"/>
  <c r="O24" i="192"/>
  <c r="N24"/>
  <c r="O25"/>
  <c r="N25"/>
  <c r="K21"/>
  <c r="J21"/>
  <c r="O26"/>
  <c r="N26"/>
  <c r="O23"/>
  <c r="N23"/>
  <c r="E75" i="363"/>
  <c r="E29"/>
  <c r="E21"/>
  <c r="E51"/>
  <c r="G22"/>
  <c r="H22" i="317"/>
  <c r="G19" i="363"/>
  <c r="G31"/>
  <c r="G30"/>
  <c r="G77"/>
  <c r="G28"/>
  <c r="G83"/>
  <c r="G18"/>
  <c r="G8"/>
  <c r="G82"/>
  <c r="G52"/>
  <c r="D15" i="193"/>
  <c r="G32" i="363"/>
  <c r="G79"/>
  <c r="G20"/>
  <c r="G29"/>
  <c r="G14"/>
  <c r="G51"/>
  <c r="G75"/>
  <c r="G21"/>
  <c r="H10" i="121"/>
  <c r="I10"/>
  <c r="K7" i="138"/>
  <c r="K8"/>
  <c r="E66" i="363" s="1"/>
  <c r="I10" i="351"/>
  <c r="F15" i="363" s="1"/>
  <c r="I7" i="351"/>
  <c r="K8"/>
  <c r="F64" i="363"/>
  <c r="F64" i="364" s="1"/>
  <c r="K7" i="351"/>
  <c r="I8"/>
  <c r="G64" i="363"/>
  <c r="K9" i="351"/>
  <c r="E17" i="363" s="1"/>
  <c r="I9" i="351"/>
  <c r="E15" i="363" s="1"/>
  <c r="I11" i="351"/>
  <c r="G15" i="363" s="1"/>
  <c r="E64"/>
  <c r="K11" i="351"/>
  <c r="G17" i="363" s="1"/>
  <c r="K10" i="351"/>
  <c r="F17" i="363" s="1"/>
  <c r="L17" i="236"/>
  <c r="I19"/>
  <c r="L19" s="1"/>
  <c r="J19"/>
  <c r="B8" i="363"/>
  <c r="G81"/>
  <c r="D83"/>
  <c r="I7" i="137"/>
  <c r="E80" i="363"/>
  <c r="G80"/>
  <c r="D19"/>
  <c r="I8" i="137"/>
  <c r="D16" i="363"/>
  <c r="D48"/>
  <c r="E49"/>
  <c r="E18"/>
  <c r="E67"/>
  <c r="E65"/>
  <c r="E63"/>
  <c r="E62"/>
  <c r="E16"/>
  <c r="G16"/>
  <c r="G62"/>
  <c r="G63"/>
  <c r="E50"/>
  <c r="G78"/>
  <c r="E78"/>
  <c r="G48"/>
  <c r="G49"/>
  <c r="I6" i="255"/>
  <c r="K6" i="122"/>
  <c r="F63" i="363"/>
  <c r="F63" i="364" s="1"/>
  <c r="F16" i="363"/>
  <c r="F62"/>
  <c r="F62" i="364" s="1"/>
  <c r="D28" i="363"/>
  <c r="G50"/>
  <c r="D49"/>
  <c r="E31" i="362"/>
  <c r="H14" i="310"/>
  <c r="H71" i="194"/>
  <c r="D71"/>
  <c r="G71"/>
  <c r="H10" i="351"/>
  <c r="C71" i="194"/>
  <c r="D73"/>
  <c r="C73"/>
  <c r="H25" i="317"/>
  <c r="H24"/>
  <c r="H26"/>
  <c r="K16" i="236"/>
  <c r="N6" i="122"/>
  <c r="L6"/>
  <c r="G76" i="363"/>
  <c r="K23" i="310"/>
  <c r="O10" i="197"/>
  <c r="W15" i="193"/>
  <c r="O8" i="197"/>
  <c r="W11" i="193"/>
  <c r="O9" i="197"/>
  <c r="W12" i="193"/>
  <c r="M40"/>
  <c r="V15"/>
  <c r="G15" i="123"/>
  <c r="L35" i="317"/>
  <c r="K35"/>
  <c r="H8" i="351"/>
  <c r="H9"/>
  <c r="H11"/>
  <c r="H7"/>
  <c r="E39" i="335"/>
  <c r="I21" i="192"/>
  <c r="M8" i="317"/>
  <c r="O15" i="124"/>
  <c r="M14" i="355"/>
  <c r="J16" i="236"/>
  <c r="I16"/>
  <c r="F13" i="287"/>
  <c r="O16" i="124"/>
  <c r="M15" i="355"/>
  <c r="K21"/>
  <c r="M21"/>
  <c r="H6"/>
  <c r="L6"/>
  <c r="I6"/>
  <c r="M9" i="317"/>
  <c r="H22" i="352"/>
  <c r="J22" s="1"/>
  <c r="E76" i="363"/>
  <c r="I23" i="310"/>
  <c r="H15"/>
  <c r="G15"/>
  <c r="K20" i="236"/>
  <c r="K19"/>
  <c r="G25" i="352"/>
  <c r="G24"/>
  <c r="I20" i="350"/>
  <c r="J20" s="1"/>
  <c r="I25" i="352"/>
  <c r="I24"/>
  <c r="O21" i="124"/>
  <c r="M20" i="355" s="1"/>
  <c r="I19" i="350"/>
  <c r="J19" s="1"/>
  <c r="K19" s="1"/>
  <c r="I16"/>
  <c r="J16" s="1"/>
  <c r="K25" i="352"/>
  <c r="K24"/>
  <c r="I11" i="194"/>
  <c r="M12" i="317"/>
  <c r="M10"/>
  <c r="D11" i="363"/>
  <c r="G20" i="332"/>
  <c r="G22" i="350"/>
  <c r="H20" i="332"/>
  <c r="H22" i="350"/>
  <c r="I20" i="332"/>
  <c r="J20" s="1"/>
  <c r="I22" i="350"/>
  <c r="J22" s="1"/>
  <c r="H21" i="332"/>
  <c r="H23" i="350"/>
  <c r="I21" i="332"/>
  <c r="J21" s="1"/>
  <c r="I23" i="350"/>
  <c r="J23" s="1"/>
  <c r="G16"/>
  <c r="G21" i="332"/>
  <c r="G23" i="350"/>
  <c r="H9" i="347"/>
  <c r="H15" s="1"/>
  <c r="H57"/>
  <c r="L13"/>
  <c r="L45" s="1"/>
  <c r="H23" i="123"/>
  <c r="I23"/>
  <c r="J23" s="1"/>
  <c r="G18" i="332"/>
  <c r="H6" i="255"/>
  <c r="H17" i="332"/>
  <c r="H18"/>
  <c r="I18"/>
  <c r="J18" s="1"/>
  <c r="I14"/>
  <c r="J14" s="1"/>
  <c r="J25" i="310"/>
  <c r="I25" i="123"/>
  <c r="J25" s="1"/>
  <c r="K25" i="310"/>
  <c r="K25" i="123"/>
  <c r="L25" s="1"/>
  <c r="G25" i="310"/>
  <c r="G25" i="123"/>
  <c r="H25" i="310"/>
  <c r="H25" i="123"/>
  <c r="G23"/>
  <c r="H14" i="332"/>
  <c r="I17"/>
  <c r="J17" s="1"/>
  <c r="G17"/>
  <c r="G14"/>
  <c r="G18" i="350"/>
  <c r="G17"/>
  <c r="H17"/>
  <c r="D76" i="363" l="1"/>
  <c r="T76" s="1"/>
  <c r="D32"/>
  <c r="D52"/>
  <c r="D22"/>
  <c r="D22" i="364" s="1"/>
  <c r="D17" i="363"/>
  <c r="D79"/>
  <c r="D51"/>
  <c r="D50"/>
  <c r="D50" i="364" s="1"/>
  <c r="D77" i="363"/>
  <c r="D82"/>
  <c r="D81"/>
  <c r="D21"/>
  <c r="D21" i="364" s="1"/>
  <c r="D18" i="363"/>
  <c r="D31"/>
  <c r="D15"/>
  <c r="D80"/>
  <c r="D80" i="364" s="1"/>
  <c r="D75" i="363"/>
  <c r="D20"/>
  <c r="D78"/>
  <c r="D14"/>
  <c r="D14" i="364" s="1"/>
  <c r="G11" i="363"/>
  <c r="R4" i="365"/>
  <c r="C2" i="366" s="1"/>
  <c r="B2"/>
  <c r="V19" i="363"/>
  <c r="Q40" i="365"/>
  <c r="K13" i="362"/>
  <c r="R22" i="371"/>
  <c r="K9" i="362" s="1"/>
  <c r="R24" i="371"/>
  <c r="K11" i="362" s="1"/>
  <c r="R21" i="371"/>
  <c r="K8" i="362" s="1"/>
  <c r="R23" i="371"/>
  <c r="K10" i="362" s="1"/>
  <c r="K6"/>
  <c r="R25" i="371"/>
  <c r="K12" i="362" s="1"/>
  <c r="R20" i="371"/>
  <c r="K7" i="362" s="1"/>
  <c r="Q42" i="365"/>
  <c r="Q41"/>
  <c r="K23" i="371"/>
  <c r="H11" i="270" s="1"/>
  <c r="K26" i="371"/>
  <c r="H14" i="270" s="1"/>
  <c r="K27" i="371"/>
  <c r="H15" i="270" s="1"/>
  <c r="K24" i="371"/>
  <c r="H12" i="270" s="1"/>
  <c r="K20" i="371"/>
  <c r="H8" i="270" s="1"/>
  <c r="K28" i="371"/>
  <c r="H16" i="270" s="1"/>
  <c r="K22" i="371"/>
  <c r="H10" i="270" s="1"/>
  <c r="K25" i="371"/>
  <c r="H13" i="270" s="1"/>
  <c r="K21" i="371"/>
  <c r="H9" i="270" s="1"/>
  <c r="H7"/>
  <c r="J26" i="371"/>
  <c r="G14" i="270" s="1"/>
  <c r="J24" i="371"/>
  <c r="G12" i="270" s="1"/>
  <c r="J25" i="371"/>
  <c r="G13" i="270" s="1"/>
  <c r="J20" i="371"/>
  <c r="G8" i="270" s="1"/>
  <c r="J28" i="371"/>
  <c r="G16" i="270" s="1"/>
  <c r="G7"/>
  <c r="J23" i="371"/>
  <c r="G11" i="270" s="1"/>
  <c r="J27" i="371"/>
  <c r="G15" i="270" s="1"/>
  <c r="J22" i="371"/>
  <c r="G10" i="270" s="1"/>
  <c r="J21" i="371"/>
  <c r="G9" i="270" s="1"/>
  <c r="E83" i="363"/>
  <c r="E83" i="364" s="1"/>
  <c r="E19" i="363"/>
  <c r="Q39" i="365"/>
  <c r="I27" i="371"/>
  <c r="F15" i="270" s="1"/>
  <c r="I20" i="371"/>
  <c r="F8" i="270" s="1"/>
  <c r="I22" i="371"/>
  <c r="F10" i="270" s="1"/>
  <c r="I21" i="371"/>
  <c r="F9" i="270" s="1"/>
  <c r="I23" i="371"/>
  <c r="F11" i="270" s="1"/>
  <c r="I24" i="371"/>
  <c r="F12" i="270" s="1"/>
  <c r="I26" i="371"/>
  <c r="F14" i="270" s="1"/>
  <c r="I25" i="371"/>
  <c r="F13" i="270" s="1"/>
  <c r="I28" i="371"/>
  <c r="F16" i="270" s="1"/>
  <c r="F7"/>
  <c r="H20" i="371"/>
  <c r="E8" i="270" s="1"/>
  <c r="H27" i="371"/>
  <c r="E15" i="270" s="1"/>
  <c r="H22" i="371"/>
  <c r="E10" i="270" s="1"/>
  <c r="H21" i="371"/>
  <c r="E9" i="270" s="1"/>
  <c r="H26" i="371"/>
  <c r="E14" i="270" s="1"/>
  <c r="E7"/>
  <c r="H25" i="371"/>
  <c r="E13" i="270" s="1"/>
  <c r="H28" i="371"/>
  <c r="E16" i="270" s="1"/>
  <c r="H24" i="371"/>
  <c r="E12" i="270" s="1"/>
  <c r="H23" i="371"/>
  <c r="E11" i="270" s="1"/>
  <c r="L19" i="371"/>
  <c r="O23"/>
  <c r="H10" i="362" s="1"/>
  <c r="O22" i="371"/>
  <c r="H9" i="362" s="1"/>
  <c r="O21" i="371"/>
  <c r="H8" i="362" s="1"/>
  <c r="H6"/>
  <c r="P19" i="371"/>
  <c r="O26"/>
  <c r="H13" i="362" s="1"/>
  <c r="O28" i="371"/>
  <c r="H15" i="362" s="1"/>
  <c r="O25" i="371"/>
  <c r="H12" i="362" s="1"/>
  <c r="O20" i="371"/>
  <c r="H7" i="362" s="1"/>
  <c r="O27" i="371"/>
  <c r="H14" i="362" s="1"/>
  <c r="O24" i="371"/>
  <c r="H11" i="362" s="1"/>
  <c r="Q19" i="371"/>
  <c r="D4" i="365"/>
  <c r="K2" i="366" s="1"/>
  <c r="B51"/>
  <c r="B31"/>
  <c r="B52"/>
  <c r="B50"/>
  <c r="B30"/>
  <c r="B49"/>
  <c r="B28"/>
  <c r="B48"/>
  <c r="F63"/>
  <c r="F18" i="364"/>
  <c r="F20"/>
  <c r="V20" s="1"/>
  <c r="K9" i="317"/>
  <c r="E12" i="368" s="1"/>
  <c r="L7" i="317"/>
  <c r="B13" i="368" s="1"/>
  <c r="K10" i="317"/>
  <c r="F12" i="368" s="1"/>
  <c r="K11" i="317"/>
  <c r="G12" i="368" s="1"/>
  <c r="K12" i="317"/>
  <c r="H12" i="368" s="1"/>
  <c r="K8" i="317"/>
  <c r="V8" i="363"/>
  <c r="V19" i="364"/>
  <c r="V8"/>
  <c r="D11"/>
  <c r="T11" i="363"/>
  <c r="E76" i="364"/>
  <c r="U76" i="363"/>
  <c r="G76" i="364"/>
  <c r="W76" i="363"/>
  <c r="D79" i="364"/>
  <c r="T79" i="363"/>
  <c r="D49" i="364"/>
  <c r="T49" i="363"/>
  <c r="D51" i="364"/>
  <c r="T51" i="363"/>
  <c r="D28" i="364"/>
  <c r="T28" i="363"/>
  <c r="F16" i="364"/>
  <c r="V16" i="363"/>
  <c r="G48" i="364"/>
  <c r="W48" i="363"/>
  <c r="G78" i="364"/>
  <c r="W78" i="363"/>
  <c r="E50" i="364"/>
  <c r="U50" i="363"/>
  <c r="G62" i="364"/>
  <c r="W62" i="363"/>
  <c r="E16" i="364"/>
  <c r="U16" i="363"/>
  <c r="E63" i="364"/>
  <c r="U63" i="363"/>
  <c r="E67" i="364"/>
  <c r="U67" i="363"/>
  <c r="D32" i="364"/>
  <c r="T32" i="363"/>
  <c r="D77" i="364"/>
  <c r="T77" i="363"/>
  <c r="D48" i="364"/>
  <c r="T48" i="363"/>
  <c r="D82" i="364"/>
  <c r="T82" i="363"/>
  <c r="D16" i="364"/>
  <c r="T16" i="363"/>
  <c r="D81" i="364"/>
  <c r="T81" i="363"/>
  <c r="D19" i="364"/>
  <c r="T19" i="363"/>
  <c r="T21"/>
  <c r="G80" i="364"/>
  <c r="W80" i="363"/>
  <c r="D18" i="364"/>
  <c r="T18" i="363"/>
  <c r="D83" i="364"/>
  <c r="T83" i="363"/>
  <c r="D31" i="364"/>
  <c r="T31" i="363"/>
  <c r="G17" i="364"/>
  <c r="W17" i="363"/>
  <c r="G15" i="364"/>
  <c r="W15" i="363"/>
  <c r="E17" i="364"/>
  <c r="U17" i="363"/>
  <c r="D15" i="364"/>
  <c r="T15" i="363"/>
  <c r="E66" i="364"/>
  <c r="U66" i="363"/>
  <c r="G11" i="364"/>
  <c r="W11" i="363"/>
  <c r="G21" i="364"/>
  <c r="W21" i="363"/>
  <c r="G51" i="364"/>
  <c r="W51" i="363"/>
  <c r="G29" i="364"/>
  <c r="W29" i="363"/>
  <c r="G79" i="364"/>
  <c r="W79" i="363"/>
  <c r="G82" i="364"/>
  <c r="W82" i="363"/>
  <c r="G18" i="364"/>
  <c r="W18" i="363"/>
  <c r="G28" i="364"/>
  <c r="W28" i="363"/>
  <c r="G30" i="364"/>
  <c r="W30" i="363"/>
  <c r="G19" i="364"/>
  <c r="W19" i="363"/>
  <c r="G22" i="364"/>
  <c r="W22" i="363"/>
  <c r="E21" i="364"/>
  <c r="U21" i="363"/>
  <c r="E75" i="364"/>
  <c r="U75" i="363"/>
  <c r="E31" i="364"/>
  <c r="U31" i="363"/>
  <c r="E32" i="364"/>
  <c r="U32" i="363"/>
  <c r="E22" i="364"/>
  <c r="U22" i="363"/>
  <c r="E28" i="364"/>
  <c r="U28" i="363"/>
  <c r="E77" i="364"/>
  <c r="U77" i="363"/>
  <c r="E14" i="364"/>
  <c r="U14" i="363"/>
  <c r="E81" i="364"/>
  <c r="U81" i="363"/>
  <c r="F22" i="364"/>
  <c r="V22" i="363"/>
  <c r="F14" i="364"/>
  <c r="V14" i="363"/>
  <c r="E19" i="364"/>
  <c r="U19" i="363"/>
  <c r="T80"/>
  <c r="G50" i="364"/>
  <c r="W50" i="363"/>
  <c r="D75" i="364"/>
  <c r="T75" i="363"/>
  <c r="G49" i="364"/>
  <c r="W49" i="363"/>
  <c r="E78" i="364"/>
  <c r="U78" i="363"/>
  <c r="G63" i="364"/>
  <c r="W63" i="363"/>
  <c r="G16" i="364"/>
  <c r="W16" i="363"/>
  <c r="E62" i="364"/>
  <c r="U62" i="363"/>
  <c r="E65" i="364"/>
  <c r="U65" i="363"/>
  <c r="E18" i="364"/>
  <c r="U18" i="363"/>
  <c r="E49" i="364"/>
  <c r="U49" i="363"/>
  <c r="D52" i="364"/>
  <c r="T52" i="363"/>
  <c r="D20" i="364"/>
  <c r="T20" i="363"/>
  <c r="D78" i="364"/>
  <c r="T78" i="363"/>
  <c r="T14"/>
  <c r="E80" i="364"/>
  <c r="U80" i="363"/>
  <c r="G81" i="364"/>
  <c r="W81" i="363"/>
  <c r="B8" i="364"/>
  <c r="B8" i="366" s="1"/>
  <c r="R8" s="1"/>
  <c r="R8" i="363"/>
  <c r="F17" i="364"/>
  <c r="V17" i="363"/>
  <c r="E64" i="364"/>
  <c r="U64" i="363"/>
  <c r="E15" i="364"/>
  <c r="U15" i="363"/>
  <c r="G64" i="364"/>
  <c r="W64" i="363"/>
  <c r="D17" i="364"/>
  <c r="T17" i="363"/>
  <c r="F15" i="364"/>
  <c r="V15" i="363"/>
  <c r="G75" i="364"/>
  <c r="W75" i="363"/>
  <c r="G14" i="364"/>
  <c r="W14" i="363"/>
  <c r="G20" i="364"/>
  <c r="W20" i="363"/>
  <c r="G32" i="364"/>
  <c r="W32" i="363"/>
  <c r="G52" i="364"/>
  <c r="W52" i="363"/>
  <c r="G8" i="364"/>
  <c r="W8" i="363"/>
  <c r="G83" i="364"/>
  <c r="W83" i="363"/>
  <c r="G77" i="364"/>
  <c r="W77" i="363"/>
  <c r="G31" i="364"/>
  <c r="W31" i="363"/>
  <c r="E51" i="364"/>
  <c r="U51" i="363"/>
  <c r="E29" i="364"/>
  <c r="U29" i="363"/>
  <c r="E20" i="364"/>
  <c r="U20" i="363"/>
  <c r="E79" i="364"/>
  <c r="U79" i="363"/>
  <c r="E30" i="364"/>
  <c r="U30" i="363"/>
  <c r="E48" i="364"/>
  <c r="U48" i="363"/>
  <c r="E52" i="364"/>
  <c r="U52" i="363"/>
  <c r="E82" i="364"/>
  <c r="U82" i="363"/>
  <c r="E8" i="364"/>
  <c r="U8" i="363"/>
  <c r="D30" i="364"/>
  <c r="T30" i="363"/>
  <c r="F21" i="364"/>
  <c r="V21" i="363"/>
  <c r="D8" i="364"/>
  <c r="T8" i="363"/>
  <c r="O32" i="294"/>
  <c r="D9" i="363"/>
  <c r="O21" i="294"/>
  <c r="O67" s="1"/>
  <c r="B9" i="363"/>
  <c r="O31" i="294"/>
  <c r="O20"/>
  <c r="O66" s="1"/>
  <c r="P8"/>
  <c r="P9" s="1"/>
  <c r="N9" s="1"/>
  <c r="N8" s="1"/>
  <c r="C13" i="197"/>
  <c r="O30" i="294"/>
  <c r="E9" i="363"/>
  <c r="O22" i="294"/>
  <c r="O68" s="1"/>
  <c r="O33"/>
  <c r="O34"/>
  <c r="F9" i="363"/>
  <c r="O23" i="294"/>
  <c r="O69" s="1"/>
  <c r="G9" i="363"/>
  <c r="O35" i="294"/>
  <c r="O24"/>
  <c r="O70" s="1"/>
  <c r="F11" i="363"/>
  <c r="E11"/>
  <c r="B11"/>
  <c r="K22" i="317"/>
  <c r="C14" i="197"/>
  <c r="K23" i="350"/>
  <c r="L23"/>
  <c r="L22"/>
  <c r="K22"/>
  <c r="L19"/>
  <c r="L20"/>
  <c r="K20"/>
  <c r="L16"/>
  <c r="K16"/>
  <c r="I18" i="317"/>
  <c r="L18" s="1"/>
  <c r="K18"/>
  <c r="I26"/>
  <c r="L26" s="1"/>
  <c r="K26"/>
  <c r="K24"/>
  <c r="I24"/>
  <c r="L24" s="1"/>
  <c r="I25"/>
  <c r="L25" s="1"/>
  <c r="K25"/>
  <c r="L16" i="236"/>
  <c r="I39" i="335"/>
  <c r="L22" i="352"/>
  <c r="I22" i="317"/>
  <c r="L22" s="1"/>
  <c r="K19"/>
  <c r="M15" i="347"/>
  <c r="I17" i="350"/>
  <c r="J17" s="1"/>
  <c r="I18"/>
  <c r="J18" s="1"/>
  <c r="L17" i="332"/>
  <c r="K17"/>
  <c r="K14"/>
  <c r="L14"/>
  <c r="K18"/>
  <c r="L18"/>
  <c r="K21"/>
  <c r="L21"/>
  <c r="L20"/>
  <c r="K20"/>
  <c r="H37" i="193"/>
  <c r="L37" s="1"/>
  <c r="H41" i="347"/>
  <c r="K23" i="317"/>
  <c r="I23"/>
  <c r="L23" s="1"/>
  <c r="L17"/>
  <c r="H10" i="347"/>
  <c r="H16" s="1"/>
  <c r="M16" s="1"/>
  <c r="H60"/>
  <c r="M57"/>
  <c r="H63"/>
  <c r="H12"/>
  <c r="H18" s="1"/>
  <c r="H58"/>
  <c r="H25"/>
  <c r="M9"/>
  <c r="H15" i="332"/>
  <c r="I15"/>
  <c r="J15" s="1"/>
  <c r="G15"/>
  <c r="K23" i="123"/>
  <c r="H16" i="332"/>
  <c r="I16"/>
  <c r="J16" s="1"/>
  <c r="G16"/>
  <c r="D76" i="364" l="1"/>
  <c r="T22" i="363"/>
  <c r="T50"/>
  <c r="U83"/>
  <c r="G12"/>
  <c r="G12" i="364" s="1"/>
  <c r="J6" i="362"/>
  <c r="Q20" i="371"/>
  <c r="J7" i="362" s="1"/>
  <c r="Q28" i="371"/>
  <c r="J15" i="362" s="1"/>
  <c r="Q27" i="371"/>
  <c r="J14" i="362" s="1"/>
  <c r="Q24" i="371"/>
  <c r="J11" i="362" s="1"/>
  <c r="Q23" i="371"/>
  <c r="J10" i="362" s="1"/>
  <c r="Q26" i="371"/>
  <c r="J13" i="362" s="1"/>
  <c r="Q22" i="371"/>
  <c r="J9" i="362" s="1"/>
  <c r="Q21" i="371"/>
  <c r="J8" i="362" s="1"/>
  <c r="Q25" i="371"/>
  <c r="J12" i="362" s="1"/>
  <c r="E6"/>
  <c r="I14" i="368" s="1"/>
  <c r="L25" i="371"/>
  <c r="E12" i="362" s="1"/>
  <c r="M19" i="371"/>
  <c r="L26"/>
  <c r="L24"/>
  <c r="E11" i="362" s="1"/>
  <c r="L20" i="371"/>
  <c r="E7" i="362" s="1"/>
  <c r="L28" i="371"/>
  <c r="L23"/>
  <c r="E10" i="362" s="1"/>
  <c r="T15" i="371"/>
  <c r="L21"/>
  <c r="E8" i="362" s="1"/>
  <c r="N19" i="371"/>
  <c r="L22"/>
  <c r="E9" i="362" s="1"/>
  <c r="L27" i="371"/>
  <c r="I6" i="362"/>
  <c r="P21" i="371"/>
  <c r="I8" i="362" s="1"/>
  <c r="P25" i="371"/>
  <c r="I12" i="362" s="1"/>
  <c r="P23" i="371"/>
  <c r="I10" i="362" s="1"/>
  <c r="P28" i="371"/>
  <c r="I15" i="362" s="1"/>
  <c r="P22" i="371"/>
  <c r="I9" i="362" s="1"/>
  <c r="P26" i="371"/>
  <c r="I13" i="362" s="1"/>
  <c r="P24" i="371"/>
  <c r="I11" i="362" s="1"/>
  <c r="P27" i="371"/>
  <c r="I14" i="362" s="1"/>
  <c r="P20" i="371"/>
  <c r="I7" i="362" s="1"/>
  <c r="F64" i="366"/>
  <c r="F19"/>
  <c r="V19" s="1"/>
  <c r="F8"/>
  <c r="V8" s="1"/>
  <c r="F18"/>
  <c r="V18" s="1"/>
  <c r="F62"/>
  <c r="V18" i="364"/>
  <c r="F12" i="363"/>
  <c r="F12" i="364" s="1"/>
  <c r="F20" i="366"/>
  <c r="V20" s="1"/>
  <c r="E12" i="363"/>
  <c r="E12" i="364" s="1"/>
  <c r="D12" i="363"/>
  <c r="T12" s="1"/>
  <c r="B12"/>
  <c r="R12" s="1"/>
  <c r="C12" i="368"/>
  <c r="D41" i="197"/>
  <c r="C41"/>
  <c r="E41"/>
  <c r="C15"/>
  <c r="E15" s="1"/>
  <c r="D40"/>
  <c r="C40"/>
  <c r="E40"/>
  <c r="T30" i="364"/>
  <c r="D30" i="366"/>
  <c r="T30" s="1"/>
  <c r="U82" i="364"/>
  <c r="E82" i="366"/>
  <c r="U82" s="1"/>
  <c r="U48" i="364"/>
  <c r="E48" i="366"/>
  <c r="U48" s="1"/>
  <c r="U79" i="364"/>
  <c r="E79" i="366"/>
  <c r="U79" s="1"/>
  <c r="U29" i="364"/>
  <c r="E29" i="366"/>
  <c r="U29" s="1"/>
  <c r="W31" i="364"/>
  <c r="G31" i="366"/>
  <c r="W31" s="1"/>
  <c r="W83" i="364"/>
  <c r="G83" i="366"/>
  <c r="W83" s="1"/>
  <c r="W52" i="364"/>
  <c r="G52" i="366"/>
  <c r="W52" s="1"/>
  <c r="W20" i="364"/>
  <c r="G20" i="366"/>
  <c r="W20" s="1"/>
  <c r="W75" i="364"/>
  <c r="G75" i="366"/>
  <c r="W75" s="1"/>
  <c r="T17" i="364"/>
  <c r="D17" i="366"/>
  <c r="T17" s="1"/>
  <c r="U15" i="364"/>
  <c r="E15" i="366"/>
  <c r="U15" s="1"/>
  <c r="V17" i="364"/>
  <c r="F17" i="366"/>
  <c r="V17" s="1"/>
  <c r="W81" i="364"/>
  <c r="G81" i="366"/>
  <c r="W81" s="1"/>
  <c r="U80" i="364"/>
  <c r="E80" i="366"/>
  <c r="U80" s="1"/>
  <c r="T22" i="364"/>
  <c r="D22" i="366"/>
  <c r="T22" s="1"/>
  <c r="T20" i="364"/>
  <c r="D20" i="366"/>
  <c r="T20" s="1"/>
  <c r="U49" i="364"/>
  <c r="E49" i="366"/>
  <c r="U49" s="1"/>
  <c r="U65" i="364"/>
  <c r="E65" i="366"/>
  <c r="U65" s="1"/>
  <c r="W16" i="364"/>
  <c r="G16" i="366"/>
  <c r="W16" s="1"/>
  <c r="T50" i="364"/>
  <c r="D50" i="366"/>
  <c r="T50" s="1"/>
  <c r="W49" i="364"/>
  <c r="G49" i="366"/>
  <c r="W49" s="1"/>
  <c r="W50" i="364"/>
  <c r="G50" i="366"/>
  <c r="W50" s="1"/>
  <c r="U19" i="364"/>
  <c r="E19" i="366"/>
  <c r="U19" s="1"/>
  <c r="U83" i="364"/>
  <c r="E83" i="366"/>
  <c r="U83" s="1"/>
  <c r="U81" i="364"/>
  <c r="E81" i="366"/>
  <c r="U81" s="1"/>
  <c r="U77" i="364"/>
  <c r="E77" i="366"/>
  <c r="U77" s="1"/>
  <c r="U22" i="364"/>
  <c r="E22" i="366"/>
  <c r="U22" s="1"/>
  <c r="U31" i="364"/>
  <c r="E31" i="366"/>
  <c r="U31" s="1"/>
  <c r="U21" i="364"/>
  <c r="E21" i="366"/>
  <c r="U21" s="1"/>
  <c r="W19" i="364"/>
  <c r="G19" i="366"/>
  <c r="W19" s="1"/>
  <c r="W28" i="364"/>
  <c r="G28" i="366"/>
  <c r="W28" s="1"/>
  <c r="W82" i="364"/>
  <c r="G82" i="366"/>
  <c r="W82" s="1"/>
  <c r="W29" i="364"/>
  <c r="G29" i="366"/>
  <c r="W29" s="1"/>
  <c r="W21" i="364"/>
  <c r="G21" i="366"/>
  <c r="W21" s="1"/>
  <c r="U66" i="364"/>
  <c r="E66" i="366"/>
  <c r="U66" s="1"/>
  <c r="U17" i="364"/>
  <c r="E17" i="366"/>
  <c r="U17" s="1"/>
  <c r="W17" i="364"/>
  <c r="G17" i="366"/>
  <c r="W17" s="1"/>
  <c r="T83" i="364"/>
  <c r="D83" i="366"/>
  <c r="T83" s="1"/>
  <c r="T21" i="364"/>
  <c r="D21" i="366"/>
  <c r="T21" s="1"/>
  <c r="T81" i="364"/>
  <c r="D81" i="366"/>
  <c r="T81" s="1"/>
  <c r="T82" i="364"/>
  <c r="D82" i="366"/>
  <c r="T82" s="1"/>
  <c r="T77" i="364"/>
  <c r="D77" i="366"/>
  <c r="T77" s="1"/>
  <c r="U67" i="364"/>
  <c r="E67" i="366"/>
  <c r="U67" s="1"/>
  <c r="U16" i="364"/>
  <c r="E16" i="366"/>
  <c r="U16" s="1"/>
  <c r="U50" i="364"/>
  <c r="E50" i="366"/>
  <c r="U50" s="1"/>
  <c r="W48" i="364"/>
  <c r="G48" i="366"/>
  <c r="W48" s="1"/>
  <c r="T28" i="364"/>
  <c r="D28" i="366"/>
  <c r="T28" s="1"/>
  <c r="T49" i="364"/>
  <c r="D49" i="366"/>
  <c r="T49" s="1"/>
  <c r="T76" i="364"/>
  <c r="D76" i="366"/>
  <c r="T76" s="1"/>
  <c r="U76" i="364"/>
  <c r="E76" i="366"/>
  <c r="U76" s="1"/>
  <c r="V21" i="364"/>
  <c r="F21" i="366"/>
  <c r="V21" s="1"/>
  <c r="U52" i="364"/>
  <c r="E52" i="366"/>
  <c r="U52" s="1"/>
  <c r="U30" i="364"/>
  <c r="E30" i="366"/>
  <c r="U30" s="1"/>
  <c r="U20" i="364"/>
  <c r="E20" i="366"/>
  <c r="U20" s="1"/>
  <c r="U51" i="364"/>
  <c r="E51" i="366"/>
  <c r="U51" s="1"/>
  <c r="W77" i="364"/>
  <c r="G77" i="366"/>
  <c r="W77" s="1"/>
  <c r="W32" i="364"/>
  <c r="G32" i="366"/>
  <c r="W32" s="1"/>
  <c r="W14" i="364"/>
  <c r="G14" i="366"/>
  <c r="W14" s="1"/>
  <c r="V15" i="364"/>
  <c r="F15" i="366"/>
  <c r="V15" s="1"/>
  <c r="W64" i="364"/>
  <c r="G64" i="366"/>
  <c r="W64" s="1"/>
  <c r="U64" i="364"/>
  <c r="E64" i="366"/>
  <c r="U64" s="1"/>
  <c r="T14" i="364"/>
  <c r="D14" i="366"/>
  <c r="T14" s="1"/>
  <c r="T78" i="364"/>
  <c r="D78" i="366"/>
  <c r="T78" s="1"/>
  <c r="T52" i="364"/>
  <c r="D52" i="366"/>
  <c r="T52" s="1"/>
  <c r="U18" i="364"/>
  <c r="E18" i="366"/>
  <c r="U18" s="1"/>
  <c r="U62" i="364"/>
  <c r="E62" i="366"/>
  <c r="U62" s="1"/>
  <c r="W63" i="364"/>
  <c r="G63" i="366"/>
  <c r="W63" s="1"/>
  <c r="U78" i="364"/>
  <c r="E78" i="366"/>
  <c r="U78" s="1"/>
  <c r="T75" i="364"/>
  <c r="D75" i="366"/>
  <c r="T75" s="1"/>
  <c r="T80" i="364"/>
  <c r="D80" i="366"/>
  <c r="T80" s="1"/>
  <c r="V14" i="364"/>
  <c r="F14" i="366"/>
  <c r="V14" s="1"/>
  <c r="V22" i="364"/>
  <c r="F22" i="366"/>
  <c r="V22" s="1"/>
  <c r="U14" i="364"/>
  <c r="E14" i="366"/>
  <c r="U14" s="1"/>
  <c r="U28" i="364"/>
  <c r="E28" i="366"/>
  <c r="U28" s="1"/>
  <c r="U32" i="364"/>
  <c r="E32" i="366"/>
  <c r="U32" s="1"/>
  <c r="U75" i="364"/>
  <c r="E75" i="366"/>
  <c r="U75" s="1"/>
  <c r="W22" i="364"/>
  <c r="G22" i="366"/>
  <c r="W22" s="1"/>
  <c r="W30" i="364"/>
  <c r="G30" i="366"/>
  <c r="W30" s="1"/>
  <c r="W18" i="364"/>
  <c r="G18" i="366"/>
  <c r="W18" s="1"/>
  <c r="W79" i="364"/>
  <c r="G79" i="366"/>
  <c r="W79" s="1"/>
  <c r="W51" i="364"/>
  <c r="G51" i="366"/>
  <c r="W51" s="1"/>
  <c r="T15" i="364"/>
  <c r="D15" i="366"/>
  <c r="T15" s="1"/>
  <c r="W15" i="364"/>
  <c r="G15" i="366"/>
  <c r="W15" s="1"/>
  <c r="T31" i="364"/>
  <c r="D31" i="366"/>
  <c r="T31" s="1"/>
  <c r="T18" i="364"/>
  <c r="D18" i="366"/>
  <c r="T18" s="1"/>
  <c r="W80" i="364"/>
  <c r="G80" i="366"/>
  <c r="W80" s="1"/>
  <c r="T19" i="364"/>
  <c r="D19" i="366"/>
  <c r="T19" s="1"/>
  <c r="T16" i="364"/>
  <c r="D16" i="366"/>
  <c r="T16" s="1"/>
  <c r="T48" i="364"/>
  <c r="D48" i="366"/>
  <c r="T48" s="1"/>
  <c r="T32" i="364"/>
  <c r="D32" i="366"/>
  <c r="T32" s="1"/>
  <c r="U63" i="364"/>
  <c r="E63" i="366"/>
  <c r="U63" s="1"/>
  <c r="W62" i="364"/>
  <c r="G62" i="366"/>
  <c r="W62" s="1"/>
  <c r="W78" i="364"/>
  <c r="G78" i="366"/>
  <c r="W78" s="1"/>
  <c r="V16" i="364"/>
  <c r="F16" i="366"/>
  <c r="V16" s="1"/>
  <c r="T51" i="364"/>
  <c r="D51" i="366"/>
  <c r="T51" s="1"/>
  <c r="T79" i="364"/>
  <c r="D79" i="366"/>
  <c r="T79" s="1"/>
  <c r="W76" i="364"/>
  <c r="G76" i="366"/>
  <c r="W76" s="1"/>
  <c r="T8" i="364"/>
  <c r="D8" i="366"/>
  <c r="T8" s="1"/>
  <c r="U8" i="364"/>
  <c r="E8" i="366"/>
  <c r="U8" s="1"/>
  <c r="W8" i="364"/>
  <c r="G8" i="366"/>
  <c r="W8" s="1"/>
  <c r="R8" i="364"/>
  <c r="W11"/>
  <c r="G11" i="366"/>
  <c r="W11" s="1"/>
  <c r="T11" i="364"/>
  <c r="D11" i="366"/>
  <c r="T11" s="1"/>
  <c r="C16" i="197"/>
  <c r="E16" s="1"/>
  <c r="E13"/>
  <c r="E11" i="364"/>
  <c r="U11" i="363"/>
  <c r="F11" i="364"/>
  <c r="V11" i="363"/>
  <c r="B11" i="364"/>
  <c r="R11" i="363"/>
  <c r="E9" i="364"/>
  <c r="U9" i="363"/>
  <c r="D9" i="364"/>
  <c r="T9" i="363"/>
  <c r="D13" i="197"/>
  <c r="G9" i="364"/>
  <c r="W9" i="363"/>
  <c r="F9" i="364"/>
  <c r="V9" i="363"/>
  <c r="B9" i="364"/>
  <c r="R9" i="363"/>
  <c r="W12"/>
  <c r="D12" i="364"/>
  <c r="I7" i="317"/>
  <c r="B10" i="368" s="1"/>
  <c r="P30" i="294"/>
  <c r="P10"/>
  <c r="P19"/>
  <c r="P65" s="1"/>
  <c r="K18" i="350"/>
  <c r="L18"/>
  <c r="E14" i="197"/>
  <c r="D14"/>
  <c r="L17" i="350"/>
  <c r="K17"/>
  <c r="H44" i="347"/>
  <c r="M44" s="1"/>
  <c r="H42"/>
  <c r="O17" i="124"/>
  <c r="O18"/>
  <c r="M17" i="355" s="1"/>
  <c r="L23" i="123"/>
  <c r="L15" i="332"/>
  <c r="K15"/>
  <c r="K16"/>
  <c r="L16"/>
  <c r="J37" i="193"/>
  <c r="I37"/>
  <c r="H47" i="347"/>
  <c r="M41"/>
  <c r="H14"/>
  <c r="H20" s="1"/>
  <c r="H46"/>
  <c r="H52" s="1"/>
  <c r="M52" s="1"/>
  <c r="H61"/>
  <c r="H26"/>
  <c r="M12"/>
  <c r="H43"/>
  <c r="H49" s="1"/>
  <c r="M49" s="1"/>
  <c r="M58"/>
  <c r="H64"/>
  <c r="H59"/>
  <c r="H13"/>
  <c r="H19" s="1"/>
  <c r="H45"/>
  <c r="H51" s="1"/>
  <c r="M51" s="1"/>
  <c r="H62"/>
  <c r="H11"/>
  <c r="H17" s="1"/>
  <c r="H28"/>
  <c r="H31"/>
  <c r="M25"/>
  <c r="M63"/>
  <c r="H66"/>
  <c r="M60"/>
  <c r="M18"/>
  <c r="M10"/>
  <c r="C68" i="194"/>
  <c r="B12" i="364" l="1"/>
  <c r="V12" i="363"/>
  <c r="G6" i="362"/>
  <c r="N26" i="371"/>
  <c r="N27"/>
  <c r="N23"/>
  <c r="G10" i="362" s="1"/>
  <c r="N25" i="371"/>
  <c r="G12" i="362" s="1"/>
  <c r="N20" i="371"/>
  <c r="G7" i="362" s="1"/>
  <c r="N28" i="371"/>
  <c r="N21"/>
  <c r="G8" i="362" s="1"/>
  <c r="N22" i="371"/>
  <c r="G9" i="362" s="1"/>
  <c r="N24" i="371"/>
  <c r="G11" i="362" s="1"/>
  <c r="M28" i="371"/>
  <c r="M22"/>
  <c r="F9" i="362" s="1"/>
  <c r="M21" i="371"/>
  <c r="F8" i="362" s="1"/>
  <c r="F6"/>
  <c r="M20" i="371"/>
  <c r="F7" i="362" s="1"/>
  <c r="M25" i="371"/>
  <c r="F12" i="362" s="1"/>
  <c r="M27" i="371"/>
  <c r="M23"/>
  <c r="F10" i="362" s="1"/>
  <c r="M24" i="371"/>
  <c r="F11" i="362" s="1"/>
  <c r="M26" i="371"/>
  <c r="U12" i="363"/>
  <c r="D15" i="197"/>
  <c r="D16"/>
  <c r="E43"/>
  <c r="D43"/>
  <c r="C43"/>
  <c r="D42"/>
  <c r="C42"/>
  <c r="E42"/>
  <c r="U9" i="364"/>
  <c r="E9" i="366"/>
  <c r="U9" s="1"/>
  <c r="V11" i="364"/>
  <c r="F11" i="366"/>
  <c r="V11" s="1"/>
  <c r="T12" i="364"/>
  <c r="D12" i="366"/>
  <c r="T12" s="1"/>
  <c r="W12" i="364"/>
  <c r="G12" i="366"/>
  <c r="W12" s="1"/>
  <c r="R9" i="364"/>
  <c r="B9" i="366"/>
  <c r="R9" s="1"/>
  <c r="W9" i="364"/>
  <c r="G9" i="366"/>
  <c r="W9" s="1"/>
  <c r="T9" i="364"/>
  <c r="D9" i="366"/>
  <c r="T9" s="1"/>
  <c r="R11" i="364"/>
  <c r="B11" i="366"/>
  <c r="R11" s="1"/>
  <c r="U11" i="364"/>
  <c r="E11" i="366"/>
  <c r="U11" s="1"/>
  <c r="V12" i="364"/>
  <c r="F12" i="366"/>
  <c r="V12" s="1"/>
  <c r="U12" i="364"/>
  <c r="E12" i="366"/>
  <c r="U12" s="1"/>
  <c r="R12" i="364"/>
  <c r="B12" i="366"/>
  <c r="R12" s="1"/>
  <c r="V9" i="364"/>
  <c r="F9" i="366"/>
  <c r="V9" s="1"/>
  <c r="P31" i="294"/>
  <c r="P11"/>
  <c r="P13"/>
  <c r="P20"/>
  <c r="P66" s="1"/>
  <c r="P12"/>
  <c r="P32"/>
  <c r="P21"/>
  <c r="P67" s="1"/>
  <c r="M16" i="355"/>
  <c r="M42" i="347"/>
  <c r="H50"/>
  <c r="M50" s="1"/>
  <c r="H48"/>
  <c r="M48" s="1"/>
  <c r="C69" i="194"/>
  <c r="M46" i="347"/>
  <c r="M43"/>
  <c r="M47"/>
  <c r="M13"/>
  <c r="P13" s="1"/>
  <c r="M45"/>
  <c r="P45" s="1"/>
  <c r="M11"/>
  <c r="M14"/>
  <c r="H29"/>
  <c r="H34"/>
  <c r="M28"/>
  <c r="H68"/>
  <c r="M62"/>
  <c r="M64"/>
  <c r="H67"/>
  <c r="M61"/>
  <c r="H30"/>
  <c r="M66"/>
  <c r="M31"/>
  <c r="H65"/>
  <c r="M59"/>
  <c r="H32"/>
  <c r="M26"/>
  <c r="H27"/>
  <c r="M17"/>
  <c r="M19"/>
  <c r="M20"/>
  <c r="F68" i="194"/>
  <c r="F69" s="1"/>
  <c r="D68"/>
  <c r="D69" s="1"/>
  <c r="E68"/>
  <c r="E69" s="1"/>
  <c r="N20" i="294" l="1"/>
  <c r="N66" s="1"/>
  <c r="N12"/>
  <c r="N11"/>
  <c r="N10"/>
  <c r="N13"/>
  <c r="N31"/>
  <c r="M7" i="192"/>
  <c r="P23" i="294"/>
  <c r="P69" s="1"/>
  <c r="P34"/>
  <c r="P33"/>
  <c r="P22"/>
  <c r="P68" s="1"/>
  <c r="P35"/>
  <c r="P24"/>
  <c r="P70" s="1"/>
  <c r="H33" i="347"/>
  <c r="M27"/>
  <c r="M65"/>
  <c r="M67"/>
  <c r="M68"/>
  <c r="M34"/>
  <c r="H35"/>
  <c r="M29"/>
  <c r="M32"/>
  <c r="H36"/>
  <c r="M30"/>
  <c r="N34" i="294" l="1"/>
  <c r="N23"/>
  <c r="N69" s="1"/>
  <c r="M10" i="192"/>
  <c r="F23" i="363" s="1"/>
  <c r="N19" i="294"/>
  <c r="N65" s="1"/>
  <c r="N30"/>
  <c r="N7" i="192"/>
  <c r="N22" i="294"/>
  <c r="N68" s="1"/>
  <c r="N33"/>
  <c r="M9" i="192"/>
  <c r="N32" i="294"/>
  <c r="N21"/>
  <c r="N67" s="1"/>
  <c r="M8" i="192"/>
  <c r="N35" i="294"/>
  <c r="N24"/>
  <c r="N70" s="1"/>
  <c r="M11" i="192"/>
  <c r="G23" i="363" s="1"/>
  <c r="M36" i="347"/>
  <c r="M35"/>
  <c r="M33"/>
  <c r="F71" i="194"/>
  <c r="E71"/>
  <c r="G23" i="364" l="1"/>
  <c r="W23" i="363"/>
  <c r="F23" i="364"/>
  <c r="V23" i="363"/>
  <c r="E23"/>
  <c r="D23"/>
  <c r="N10" i="192"/>
  <c r="N9"/>
  <c r="N8"/>
  <c r="O7"/>
  <c r="N11"/>
  <c r="W23" i="364" l="1"/>
  <c r="G23" i="366"/>
  <c r="W23" s="1"/>
  <c r="V23" i="364"/>
  <c r="F23" i="366"/>
  <c r="V23" s="1"/>
  <c r="E23" i="364"/>
  <c r="U23" i="363"/>
  <c r="D23" i="364"/>
  <c r="T23" i="363"/>
  <c r="O10" i="192"/>
  <c r="O9"/>
  <c r="O11"/>
  <c r="O8"/>
  <c r="U23" i="364" l="1"/>
  <c r="E23" i="366"/>
  <c r="U23" s="1"/>
  <c r="T23" i="364"/>
  <c r="D23" i="366"/>
  <c r="T23" s="1"/>
  <c r="DU15" i="295" l="1"/>
  <c r="DV15" l="1"/>
  <c r="DV30" s="1"/>
  <c r="DU30"/>
  <c r="DO15" l="1"/>
  <c r="DO30" s="1"/>
  <c r="DO17" l="1"/>
  <c r="DO32" s="1"/>
  <c r="K8" i="197"/>
  <c r="K10" l="1"/>
  <c r="DQ16" i="295"/>
  <c r="DQ31" s="1"/>
  <c r="DR16" l="1"/>
  <c r="DR31" s="1"/>
  <c r="L14" i="347" l="1"/>
  <c r="L46" s="1"/>
  <c r="P46" s="1"/>
  <c r="P14" l="1"/>
  <c r="DW15" i="295" l="1"/>
  <c r="DX15" l="1"/>
  <c r="DW30"/>
  <c r="DX21"/>
  <c r="DP15" l="1"/>
  <c r="DP19" s="1"/>
  <c r="DX30"/>
  <c r="DP17" l="1"/>
  <c r="DP32" s="1"/>
  <c r="DP16"/>
  <c r="DP31" s="1"/>
  <c r="L12" i="197"/>
  <c r="DP34" i="295"/>
  <c r="L9" i="197"/>
  <c r="L8"/>
  <c r="DP30" i="295"/>
  <c r="L10" i="197" l="1"/>
  <c r="G8" i="245"/>
  <c r="G9" s="1"/>
  <c r="D8"/>
  <c r="N8"/>
  <c r="N9" s="1"/>
  <c r="C29"/>
  <c r="K28"/>
  <c r="C26"/>
  <c r="C30"/>
  <c r="C27" l="1"/>
  <c r="H8"/>
  <c r="H9" s="1"/>
  <c r="U13" i="193"/>
  <c r="O8" i="245"/>
  <c r="O9" s="1"/>
  <c r="E8"/>
  <c r="U11" i="193"/>
  <c r="N29" i="245"/>
  <c r="D11" i="193"/>
  <c r="G26" i="245"/>
  <c r="G27" s="1"/>
  <c r="L28"/>
  <c r="D26"/>
  <c r="D27" s="1"/>
  <c r="N28"/>
  <c r="G30"/>
  <c r="N26"/>
  <c r="N27" s="1"/>
  <c r="N30"/>
  <c r="D30"/>
  <c r="G28"/>
  <c r="D28"/>
  <c r="K30"/>
  <c r="B23" i="363" l="1"/>
  <c r="B23" i="364" s="1"/>
  <c r="Q38" i="365"/>
  <c r="B25" i="363"/>
  <c r="B20"/>
  <c r="B60"/>
  <c r="B33"/>
  <c r="B69"/>
  <c r="C34"/>
  <c r="C36"/>
  <c r="C39"/>
  <c r="B29"/>
  <c r="B37"/>
  <c r="B24"/>
  <c r="B47"/>
  <c r="B46"/>
  <c r="B59"/>
  <c r="B15"/>
  <c r="B36"/>
  <c r="C33"/>
  <c r="B27"/>
  <c r="B40"/>
  <c r="B54"/>
  <c r="B18"/>
  <c r="B55"/>
  <c r="C38"/>
  <c r="B44"/>
  <c r="B22"/>
  <c r="B71"/>
  <c r="C40"/>
  <c r="B70"/>
  <c r="B45"/>
  <c r="B58"/>
  <c r="B57"/>
  <c r="B35"/>
  <c r="B34"/>
  <c r="B66"/>
  <c r="C35"/>
  <c r="B38"/>
  <c r="B19"/>
  <c r="C25"/>
  <c r="B42"/>
  <c r="B73"/>
  <c r="B53"/>
  <c r="B61"/>
  <c r="B67"/>
  <c r="B17"/>
  <c r="B43"/>
  <c r="B16"/>
  <c r="C37"/>
  <c r="B14"/>
  <c r="B68"/>
  <c r="B21"/>
  <c r="B41"/>
  <c r="B32"/>
  <c r="B84"/>
  <c r="B56"/>
  <c r="C24"/>
  <c r="B39"/>
  <c r="B72"/>
  <c r="B26"/>
  <c r="C26"/>
  <c r="B74"/>
  <c r="K29" i="245"/>
  <c r="D29"/>
  <c r="P8"/>
  <c r="P9" s="1"/>
  <c r="F8"/>
  <c r="I8"/>
  <c r="I9" s="1"/>
  <c r="M36" i="193"/>
  <c r="L30" i="245"/>
  <c r="E26"/>
  <c r="E27" s="1"/>
  <c r="O30"/>
  <c r="O26"/>
  <c r="O27" s="1"/>
  <c r="H30"/>
  <c r="O28"/>
  <c r="M28"/>
  <c r="E28"/>
  <c r="H28"/>
  <c r="E30"/>
  <c r="H26"/>
  <c r="H27" s="1"/>
  <c r="R23" i="363" l="1"/>
  <c r="R23" i="364"/>
  <c r="B23" i="366"/>
  <c r="R23" s="1"/>
  <c r="B74" i="364"/>
  <c r="R74" i="363"/>
  <c r="B26" i="364"/>
  <c r="R26" i="363"/>
  <c r="B39" i="364"/>
  <c r="R39" i="363"/>
  <c r="B56" i="364"/>
  <c r="R56" i="363"/>
  <c r="B32" i="364"/>
  <c r="R32" i="363"/>
  <c r="B21" i="364"/>
  <c r="R21" i="363"/>
  <c r="B14" i="364"/>
  <c r="R14" i="363"/>
  <c r="B16" i="364"/>
  <c r="R16" i="363"/>
  <c r="B17" i="364"/>
  <c r="R17" i="363"/>
  <c r="B61" i="364"/>
  <c r="R61" i="363"/>
  <c r="B73" i="364"/>
  <c r="R73" i="363"/>
  <c r="C25" i="364"/>
  <c r="S25" i="363"/>
  <c r="B38" i="364"/>
  <c r="R38" i="363"/>
  <c r="B66" i="364"/>
  <c r="R66" i="363"/>
  <c r="B35" i="364"/>
  <c r="R35" i="363"/>
  <c r="B58" i="364"/>
  <c r="R58" i="363"/>
  <c r="B70" i="364"/>
  <c r="R70" i="363"/>
  <c r="B71" i="364"/>
  <c r="R71" i="363"/>
  <c r="B44" i="364"/>
  <c r="R44" i="363"/>
  <c r="B55" i="364"/>
  <c r="R55" i="363"/>
  <c r="B54" i="364"/>
  <c r="R54" i="363"/>
  <c r="B27" i="364"/>
  <c r="R27" i="363"/>
  <c r="B36" i="364"/>
  <c r="R36" i="363"/>
  <c r="B59" i="364"/>
  <c r="R59" i="363"/>
  <c r="B47" i="364"/>
  <c r="R47" i="363"/>
  <c r="B37" i="364"/>
  <c r="R37" i="363"/>
  <c r="C39" i="364"/>
  <c r="S39" i="363"/>
  <c r="C34" i="364"/>
  <c r="S34" i="363"/>
  <c r="B33" i="364"/>
  <c r="R33" i="363"/>
  <c r="B20" i="364"/>
  <c r="R20" i="363"/>
  <c r="C26" i="364"/>
  <c r="S26" i="363"/>
  <c r="B72" i="364"/>
  <c r="R72" i="363"/>
  <c r="C24" i="364"/>
  <c r="S24" i="363"/>
  <c r="B84" i="364"/>
  <c r="R84" i="363"/>
  <c r="B41" i="364"/>
  <c r="R41" i="363"/>
  <c r="B68" i="364"/>
  <c r="R68" i="363"/>
  <c r="C37" i="364"/>
  <c r="S37" i="363"/>
  <c r="B43" i="364"/>
  <c r="R43" i="363"/>
  <c r="B67" i="364"/>
  <c r="R67" i="363"/>
  <c r="B53" i="364"/>
  <c r="R53" i="363"/>
  <c r="B42" i="364"/>
  <c r="R42" i="363"/>
  <c r="B19" i="364"/>
  <c r="R19" i="363"/>
  <c r="C35" i="364"/>
  <c r="S35" i="363"/>
  <c r="B34" i="364"/>
  <c r="R34" i="363"/>
  <c r="B57" i="364"/>
  <c r="R57" i="363"/>
  <c r="B45" i="364"/>
  <c r="R45" i="363"/>
  <c r="C40" i="364"/>
  <c r="S40" i="363"/>
  <c r="B22" i="364"/>
  <c r="R22" i="363"/>
  <c r="C38" i="364"/>
  <c r="S38" i="363"/>
  <c r="B18" i="364"/>
  <c r="R18" i="363"/>
  <c r="B40" i="364"/>
  <c r="R40" i="363"/>
  <c r="C33" i="364"/>
  <c r="S33" i="363"/>
  <c r="B15" i="364"/>
  <c r="R15" i="363"/>
  <c r="B46" i="364"/>
  <c r="R46" i="363"/>
  <c r="B24" i="364"/>
  <c r="R24" i="363"/>
  <c r="B29" i="364"/>
  <c r="R29" i="363"/>
  <c r="C36" i="364"/>
  <c r="S36" i="363"/>
  <c r="B69" i="364"/>
  <c r="R69" i="363"/>
  <c r="B60" i="364"/>
  <c r="R60" i="363"/>
  <c r="B25" i="364"/>
  <c r="R25" i="363"/>
  <c r="G72" i="194"/>
  <c r="C72"/>
  <c r="D72"/>
  <c r="H72"/>
  <c r="M38" i="193"/>
  <c r="V13"/>
  <c r="V11"/>
  <c r="O29" i="245"/>
  <c r="E29"/>
  <c r="L29"/>
  <c r="H38" i="193"/>
  <c r="L38" s="1"/>
  <c r="AD21" i="295"/>
  <c r="AD20"/>
  <c r="N12" i="194"/>
  <c r="J8" i="245"/>
  <c r="J9" s="1"/>
  <c r="M30"/>
  <c r="P28"/>
  <c r="P30"/>
  <c r="F30"/>
  <c r="I28"/>
  <c r="F28"/>
  <c r="I30"/>
  <c r="P26"/>
  <c r="P27" s="1"/>
  <c r="I26"/>
  <c r="I27" s="1"/>
  <c r="F26"/>
  <c r="F27" s="1"/>
  <c r="S36" i="364" l="1"/>
  <c r="C36" i="366"/>
  <c r="S36" s="1"/>
  <c r="R15" i="364"/>
  <c r="B15" i="366"/>
  <c r="R15" s="1"/>
  <c r="S38" i="364"/>
  <c r="C38" i="366"/>
  <c r="S38" s="1"/>
  <c r="R57" i="364"/>
  <c r="B57" i="366"/>
  <c r="R57" s="1"/>
  <c r="R67" i="364"/>
  <c r="B67" i="366"/>
  <c r="R67" s="1"/>
  <c r="S24" i="364"/>
  <c r="C24" i="366"/>
  <c r="S24" s="1"/>
  <c r="R33" i="364"/>
  <c r="B33" i="366"/>
  <c r="R33" s="1"/>
  <c r="R47" i="364"/>
  <c r="B47" i="366"/>
  <c r="R47" s="1"/>
  <c r="R54" i="364"/>
  <c r="B54" i="366"/>
  <c r="R54" s="1"/>
  <c r="R35" i="364"/>
  <c r="B35" i="366"/>
  <c r="R35" s="1"/>
  <c r="R73" i="364"/>
  <c r="B73" i="366"/>
  <c r="R73" s="1"/>
  <c r="R14" i="364"/>
  <c r="B14" i="366"/>
  <c r="R14" s="1"/>
  <c r="R39" i="364"/>
  <c r="B39" i="366"/>
  <c r="R39" s="1"/>
  <c r="R25" i="364"/>
  <c r="B25" i="366"/>
  <c r="R25" s="1"/>
  <c r="R69" i="364"/>
  <c r="B69" i="366"/>
  <c r="R69" s="1"/>
  <c r="R29" i="364"/>
  <c r="B29" i="366"/>
  <c r="R29" s="1"/>
  <c r="R46" i="364"/>
  <c r="B46" i="366"/>
  <c r="R46" s="1"/>
  <c r="S33" i="364"/>
  <c r="C33" i="366"/>
  <c r="S33" s="1"/>
  <c r="R18" i="364"/>
  <c r="B18" i="366"/>
  <c r="R18" s="1"/>
  <c r="R22" i="364"/>
  <c r="B22" i="366"/>
  <c r="R22" s="1"/>
  <c r="R45" i="364"/>
  <c r="B45" i="366"/>
  <c r="R45" s="1"/>
  <c r="R34" i="364"/>
  <c r="B34" i="366"/>
  <c r="R34" s="1"/>
  <c r="R19" i="364"/>
  <c r="B19" i="366"/>
  <c r="R19" s="1"/>
  <c r="R53" i="364"/>
  <c r="B53" i="366"/>
  <c r="R53" s="1"/>
  <c r="R43" i="364"/>
  <c r="B43" i="366"/>
  <c r="R43" s="1"/>
  <c r="R68" i="364"/>
  <c r="B68" i="366"/>
  <c r="R68" s="1"/>
  <c r="R84" i="364"/>
  <c r="B84" i="366"/>
  <c r="R84" s="1"/>
  <c r="R72" i="364"/>
  <c r="B72" i="366"/>
  <c r="R72" s="1"/>
  <c r="R20" i="364"/>
  <c r="B20" i="366"/>
  <c r="R20" s="1"/>
  <c r="S34" i="364"/>
  <c r="C34" i="366"/>
  <c r="S34" s="1"/>
  <c r="R37" i="364"/>
  <c r="B37" i="366"/>
  <c r="R37" s="1"/>
  <c r="R59" i="364"/>
  <c r="B59" i="366"/>
  <c r="R59" s="1"/>
  <c r="R27" i="364"/>
  <c r="B27" i="366"/>
  <c r="R27" s="1"/>
  <c r="R55" i="364"/>
  <c r="B55" i="366"/>
  <c r="R55" s="1"/>
  <c r="R71" i="364"/>
  <c r="B71" i="366"/>
  <c r="R71" s="1"/>
  <c r="R58" i="364"/>
  <c r="B58" i="366"/>
  <c r="R58" s="1"/>
  <c r="R66" i="364"/>
  <c r="B66" i="366"/>
  <c r="R66" s="1"/>
  <c r="S25" i="364"/>
  <c r="C25" i="366"/>
  <c r="S25" s="1"/>
  <c r="R61" i="364"/>
  <c r="B61" i="366"/>
  <c r="R61" s="1"/>
  <c r="R16" i="364"/>
  <c r="B16" i="366"/>
  <c r="R16" s="1"/>
  <c r="R21" i="364"/>
  <c r="B21" i="366"/>
  <c r="R21" s="1"/>
  <c r="R56" i="364"/>
  <c r="B56" i="366"/>
  <c r="R56" s="1"/>
  <c r="R26" i="364"/>
  <c r="B26" i="366"/>
  <c r="R26" s="1"/>
  <c r="R60" i="364"/>
  <c r="B60" i="366"/>
  <c r="R60" s="1"/>
  <c r="R24" i="364"/>
  <c r="B24" i="366"/>
  <c r="R24" s="1"/>
  <c r="R40" i="364"/>
  <c r="B40" i="366"/>
  <c r="R40" s="1"/>
  <c r="S40" i="364"/>
  <c r="C40" i="366"/>
  <c r="S40" s="1"/>
  <c r="S35" i="364"/>
  <c r="C35" i="366"/>
  <c r="S35" s="1"/>
  <c r="R42" i="364"/>
  <c r="B42" i="366"/>
  <c r="R42" s="1"/>
  <c r="R41" i="364"/>
  <c r="B41" i="366"/>
  <c r="R41" s="1"/>
  <c r="S26" i="364"/>
  <c r="C26" i="366"/>
  <c r="S26" s="1"/>
  <c r="S39" i="364"/>
  <c r="C39" i="366"/>
  <c r="S39" s="1"/>
  <c r="R36" i="364"/>
  <c r="B36" i="366"/>
  <c r="R36" s="1"/>
  <c r="R44" i="364"/>
  <c r="B44" i="366"/>
  <c r="R44" s="1"/>
  <c r="R70" i="364"/>
  <c r="B70" i="366"/>
  <c r="R70" s="1"/>
  <c r="R38" i="364"/>
  <c r="B38" i="366"/>
  <c r="R38" s="1"/>
  <c r="R17" i="364"/>
  <c r="B17" i="366"/>
  <c r="R17" s="1"/>
  <c r="R32" i="364"/>
  <c r="B32" i="366"/>
  <c r="R32" s="1"/>
  <c r="R74" i="364"/>
  <c r="B74" i="366"/>
  <c r="R74" s="1"/>
  <c r="S37" i="364"/>
  <c r="C37" i="366"/>
  <c r="S37" s="1"/>
  <c r="H73" i="194"/>
  <c r="G73"/>
  <c r="M29" i="245"/>
  <c r="P29"/>
  <c r="F29"/>
  <c r="I38" i="193"/>
  <c r="F15" i="287"/>
  <c r="D54" i="193"/>
  <c r="E70" i="194"/>
  <c r="J30" i="245"/>
  <c r="J28"/>
  <c r="Q28"/>
  <c r="J26"/>
  <c r="J27" s="1"/>
  <c r="J38" i="193" l="1"/>
  <c r="AE21" i="295"/>
  <c r="AE20"/>
  <c r="F54" i="193"/>
  <c r="F70" i="194"/>
  <c r="E72"/>
  <c r="F72"/>
  <c r="E73" l="1"/>
  <c r="F73"/>
  <c r="D29" i="363" l="1"/>
  <c r="D29" i="364" l="1"/>
  <c r="T29" i="363"/>
  <c r="T29" i="364" l="1"/>
  <c r="D29" i="366"/>
  <c r="T29" s="1"/>
  <c r="F11" i="287" l="1"/>
  <c r="AQ16" i="295" l="1"/>
  <c r="AQ31" s="1"/>
  <c r="M37" i="193" l="1"/>
  <c r="V12"/>
  <c r="L11" i="347" l="1"/>
  <c r="H19" i="294"/>
  <c r="H65" s="1"/>
  <c r="G57" i="347"/>
  <c r="M7" i="317"/>
  <c r="G25" i="347"/>
  <c r="G9"/>
  <c r="L10"/>
  <c r="P10" l="1"/>
  <c r="L42"/>
  <c r="P42" s="1"/>
  <c r="K9"/>
  <c r="G41"/>
  <c r="K41" s="1"/>
  <c r="G11"/>
  <c r="G12"/>
  <c r="G10"/>
  <c r="G13"/>
  <c r="G20"/>
  <c r="G19"/>
  <c r="G15"/>
  <c r="G17"/>
  <c r="G16"/>
  <c r="G14"/>
  <c r="G18"/>
  <c r="K57"/>
  <c r="G60"/>
  <c r="K60" s="1"/>
  <c r="G58"/>
  <c r="K58" s="1"/>
  <c r="G68"/>
  <c r="K68" s="1"/>
  <c r="G64"/>
  <c r="K64" s="1"/>
  <c r="G66"/>
  <c r="K66" s="1"/>
  <c r="G61"/>
  <c r="K61" s="1"/>
  <c r="G63"/>
  <c r="K63" s="1"/>
  <c r="G59"/>
  <c r="K59" s="1"/>
  <c r="G65"/>
  <c r="K65" s="1"/>
  <c r="G67"/>
  <c r="K67" s="1"/>
  <c r="G62"/>
  <c r="K62" s="1"/>
  <c r="G29"/>
  <c r="K29" s="1"/>
  <c r="K25"/>
  <c r="G30"/>
  <c r="K30" s="1"/>
  <c r="G26"/>
  <c r="K26" s="1"/>
  <c r="G28"/>
  <c r="K28" s="1"/>
  <c r="G35"/>
  <c r="K35" s="1"/>
  <c r="G31"/>
  <c r="K31" s="1"/>
  <c r="G27"/>
  <c r="K27" s="1"/>
  <c r="G32"/>
  <c r="K32" s="1"/>
  <c r="G36"/>
  <c r="K36" s="1"/>
  <c r="G33"/>
  <c r="K33" s="1"/>
  <c r="G34"/>
  <c r="K34" s="1"/>
  <c r="L9"/>
  <c r="L57"/>
  <c r="L25"/>
  <c r="O19" i="294"/>
  <c r="O65" s="1"/>
  <c r="L12" i="347"/>
  <c r="L43"/>
  <c r="P43" s="1"/>
  <c r="P11"/>
  <c r="P12" l="1"/>
  <c r="L44"/>
  <c r="P44" s="1"/>
  <c r="P25"/>
  <c r="L31"/>
  <c r="P31" s="1"/>
  <c r="L35"/>
  <c r="P35" s="1"/>
  <c r="L36"/>
  <c r="P36" s="1"/>
  <c r="L30"/>
  <c r="P30" s="1"/>
  <c r="L33"/>
  <c r="P33" s="1"/>
  <c r="L26"/>
  <c r="P26" s="1"/>
  <c r="L28"/>
  <c r="P28" s="1"/>
  <c r="L27"/>
  <c r="P27" s="1"/>
  <c r="L32"/>
  <c r="P32" s="1"/>
  <c r="L29"/>
  <c r="P29" s="1"/>
  <c r="L34"/>
  <c r="P34" s="1"/>
  <c r="L58"/>
  <c r="P58" s="1"/>
  <c r="L62"/>
  <c r="P62" s="1"/>
  <c r="L60"/>
  <c r="P60" s="1"/>
  <c r="L67"/>
  <c r="P67" s="1"/>
  <c r="L68"/>
  <c r="P68" s="1"/>
  <c r="L64"/>
  <c r="P64" s="1"/>
  <c r="L66"/>
  <c r="P66" s="1"/>
  <c r="L61"/>
  <c r="P61" s="1"/>
  <c r="L63"/>
  <c r="P63" s="1"/>
  <c r="L59"/>
  <c r="P59" s="1"/>
  <c r="P57"/>
  <c r="L65"/>
  <c r="P65" s="1"/>
  <c r="K14"/>
  <c r="G46"/>
  <c r="K46" s="1"/>
  <c r="K17"/>
  <c r="L17"/>
  <c r="G49"/>
  <c r="K49" s="1"/>
  <c r="G51"/>
  <c r="K51" s="1"/>
  <c r="K19"/>
  <c r="L19"/>
  <c r="K13"/>
  <c r="G45"/>
  <c r="K45" s="1"/>
  <c r="K12"/>
  <c r="G44"/>
  <c r="K44" s="1"/>
  <c r="P9"/>
  <c r="L41"/>
  <c r="P41" s="1"/>
  <c r="K18"/>
  <c r="G50"/>
  <c r="K50" s="1"/>
  <c r="L18"/>
  <c r="K16"/>
  <c r="L16"/>
  <c r="G48"/>
  <c r="K48" s="1"/>
  <c r="K15"/>
  <c r="L15"/>
  <c r="G47"/>
  <c r="K47" s="1"/>
  <c r="K20"/>
  <c r="G52"/>
  <c r="K52" s="1"/>
  <c r="L20"/>
  <c r="K10"/>
  <c r="G42"/>
  <c r="K42" s="1"/>
  <c r="K11"/>
  <c r="G43"/>
  <c r="K43" s="1"/>
  <c r="P16" l="1"/>
  <c r="L48"/>
  <c r="P48" s="1"/>
  <c r="P20"/>
  <c r="L52"/>
  <c r="P52" s="1"/>
  <c r="L47"/>
  <c r="P47" s="1"/>
  <c r="P15"/>
  <c r="L51"/>
  <c r="P51" s="1"/>
  <c r="P19"/>
  <c r="P17"/>
  <c r="L49"/>
  <c r="P49" s="1"/>
  <c r="P18"/>
  <c r="L50"/>
  <c r="P50" s="1"/>
</calcChain>
</file>

<file path=xl/comments1.xml><?xml version="1.0" encoding="utf-8"?>
<comments xmlns="http://schemas.openxmlformats.org/spreadsheetml/2006/main">
  <authors>
    <author>Автор</author>
  </authors>
  <commentLis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User:10% от порте 39-00 в гр за оклейку зеркала +1 сторона покрытия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D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AE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L16*90</t>
        </r>
      </text>
    </comment>
    <comment ref="R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16*90
</t>
        </r>
      </text>
    </comment>
    <comment ref="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комо</t>
        </r>
      </text>
    </comment>
    <comment ref="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комо
</t>
        </r>
      </text>
    </comment>
    <comment ref="U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этна
</t>
        </r>
      </text>
    </comment>
    <comment ref="V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комо
</t>
        </r>
      </text>
    </comment>
    <comment ref="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Арно
</t>
        </r>
      </text>
    </comment>
    <comment ref="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арно
</t>
        </r>
      </text>
    </comment>
    <comment ref="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L10*75
</t>
        </r>
      </text>
    </comment>
    <comment ref="A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q90</t>
        </r>
      </text>
    </comment>
    <comment ref="A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q90
</t>
        </r>
      </text>
    </comment>
    <comment ref="A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одностороннему добору 100
</t>
        </r>
      </text>
    </comment>
    <comment ref="AJ1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K1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A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A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A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AZ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короба L</t>
        </r>
      </text>
    </comment>
    <comment ref="B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рейки панельной 33/33
</t>
        </r>
      </text>
    </comment>
    <comment ref="B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O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BQ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L75*10
</t>
        </r>
      </text>
    </comment>
    <comment ref="BR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B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B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BU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B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C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аналогичной шашке</t>
        </r>
      </text>
    </comment>
    <comment ref="CV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
</t>
        </r>
      </text>
    </comment>
    <comment ref="C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C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C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CZ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O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N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O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P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Z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T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W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Y13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J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K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CV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O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Z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Y28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C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F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2AL</t>
        </r>
      </text>
    </comment>
    <comment ref="G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2AL</t>
        </r>
      </text>
    </comment>
    <comment ref="H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4AL прямой</t>
        </r>
      </text>
    </comment>
    <comment ref="J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комплекту до 2300</t>
        </r>
      </text>
    </comment>
    <comment ref="L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п.м
</t>
        </r>
      </text>
    </comment>
    <comment ref="F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2AL</t>
        </r>
      </text>
    </comment>
    <comment ref="G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2AL</t>
        </r>
      </text>
    </comment>
    <comment ref="H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4AL прямой</t>
        </r>
      </text>
    </comment>
    <comment ref="J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комплекту до 2300</t>
        </r>
      </text>
    </comment>
    <comment ref="L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п.м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I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
</t>
        </r>
      </text>
    </comment>
    <comment ref="J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K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
</t>
        </r>
      </text>
    </comment>
    <comment ref="L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мете</t>
        </r>
      </text>
    </comment>
    <comment ref="M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фрейму черному
</t>
        </r>
      </text>
    </comment>
    <comment ref="N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фрейму черному</t>
        </r>
      </text>
    </comment>
    <comment ref="P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мете черной
</t>
        </r>
      </text>
    </comment>
    <comment ref="Q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мете черной</t>
        </r>
      </text>
    </comment>
    <comment ref="R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мете
</t>
        </r>
      </text>
    </comment>
  </commentList>
</comments>
</file>

<file path=xl/sharedStrings.xml><?xml version="1.0" encoding="utf-8"?>
<sst xmlns="http://schemas.openxmlformats.org/spreadsheetml/2006/main" count="7137" uniqueCount="2299">
  <si>
    <t>Полотно</t>
  </si>
  <si>
    <t>Вид покрытия</t>
  </si>
  <si>
    <t>Вид декора</t>
  </si>
  <si>
    <t>-</t>
  </si>
  <si>
    <t xml:space="preserve"> </t>
  </si>
  <si>
    <t>I</t>
  </si>
  <si>
    <t>V</t>
  </si>
  <si>
    <t>Вид изделия</t>
  </si>
  <si>
    <t>B</t>
  </si>
  <si>
    <t>A</t>
  </si>
  <si>
    <t>C</t>
  </si>
  <si>
    <t>D</t>
  </si>
  <si>
    <t>E</t>
  </si>
  <si>
    <t>F</t>
  </si>
  <si>
    <t>G</t>
  </si>
  <si>
    <t>H</t>
  </si>
  <si>
    <t>L</t>
  </si>
  <si>
    <t>Q</t>
  </si>
  <si>
    <t>Эмаль</t>
  </si>
  <si>
    <t>Варианты декорирования</t>
  </si>
  <si>
    <t>ДГ</t>
  </si>
  <si>
    <t>ДО</t>
  </si>
  <si>
    <t>ДГО</t>
  </si>
  <si>
    <t>Возможные варианты исполнения</t>
  </si>
  <si>
    <t>Исполнение со стеклом (ДО)</t>
  </si>
  <si>
    <t>НАТУРАЛЬНЫЙ ШПОН</t>
  </si>
  <si>
    <t>Наименование</t>
  </si>
  <si>
    <t>Примечание</t>
  </si>
  <si>
    <t>ЭМАЛЬ</t>
  </si>
  <si>
    <t>Прозрачное</t>
  </si>
  <si>
    <t>Стекло без декора</t>
  </si>
  <si>
    <t xml:space="preserve">  2000,
2100</t>
  </si>
  <si>
    <t>400, 500,
600, 700,
800</t>
  </si>
  <si>
    <t>Матирование стекла</t>
  </si>
  <si>
    <t>Вид
изделия</t>
  </si>
  <si>
    <t>Цвет рисунка стекла</t>
  </si>
  <si>
    <t>Модификация/
Наименование</t>
  </si>
  <si>
    <t>Цвет
стекла</t>
  </si>
  <si>
    <t>Высота полотна, мм</t>
  </si>
  <si>
    <t>Ширина полотна, мм</t>
  </si>
  <si>
    <t>2000,
2100</t>
  </si>
  <si>
    <t>Прозрачный</t>
  </si>
  <si>
    <t xml:space="preserve"> 2000,
2100</t>
  </si>
  <si>
    <t>Возможные варианты остекления</t>
  </si>
  <si>
    <t>Высота 
полотна, мм</t>
  </si>
  <si>
    <t>Триплекс 4+4 мм, глянец</t>
  </si>
  <si>
    <t>Триплекс 2+2 мм, глянец</t>
  </si>
  <si>
    <t>1. Остекления</t>
  </si>
  <si>
    <t xml:space="preserve">2. Зеркало  </t>
  </si>
  <si>
    <t>Рисунок "ПРИВИЛЕГИЯ"
Индивидуальный рисунок по эскизу или фотографии клиента, нанесенный на матовую поверхность стекла (от елезаметных оттенков серого до полноцвета)</t>
  </si>
  <si>
    <t>Вид 
изделия</t>
  </si>
  <si>
    <t>Лакобель</t>
  </si>
  <si>
    <t>по умолчанию</t>
  </si>
  <si>
    <t>Вертикальное направление шпона</t>
  </si>
  <si>
    <t>Глухое исполнение (ДГ)</t>
  </si>
  <si>
    <t>TWIST</t>
  </si>
  <si>
    <t>DESIGN</t>
  </si>
  <si>
    <t xml:space="preserve">Цветовые решения остекления </t>
  </si>
  <si>
    <t>триплекс 2+2</t>
  </si>
  <si>
    <t>триплекс 4+4</t>
  </si>
  <si>
    <t>Матирование стекла с одной стороны (СМ1)</t>
  </si>
  <si>
    <t>лакобель</t>
  </si>
  <si>
    <r>
      <t xml:space="preserve">1. Погонаж (L)
</t>
    </r>
    <r>
      <rPr>
        <sz val="11"/>
        <rFont val="Calibri"/>
        <family val="2"/>
        <charset val="204"/>
        <scheme val="minor"/>
      </rPr>
      <t xml:space="preserve">Конфигурация - Стандарт; Крепление - Телескоп;
</t>
    </r>
  </si>
  <si>
    <t>II</t>
  </si>
  <si>
    <t>III</t>
  </si>
  <si>
    <t>IV</t>
  </si>
  <si>
    <t>Вид 
погонажного 
изделия</t>
  </si>
  <si>
    <t>Наличник</t>
  </si>
  <si>
    <t>Плоский</t>
  </si>
  <si>
    <t>Фигурный</t>
  </si>
  <si>
    <t>WL</t>
  </si>
  <si>
    <t>ML</t>
  </si>
  <si>
    <t>34 х 75 мм</t>
  </si>
  <si>
    <t>16 х 75 мм</t>
  </si>
  <si>
    <t>10 х 75 мм</t>
  </si>
  <si>
    <t>10 х 90 мм</t>
  </si>
  <si>
    <t>16 х 90 мм</t>
  </si>
  <si>
    <t>15 х 85 мм</t>
  </si>
  <si>
    <t>23 х 110 мм</t>
  </si>
  <si>
    <t>2150 мм</t>
  </si>
  <si>
    <t>2400 мм</t>
  </si>
  <si>
    <t>VI</t>
  </si>
  <si>
    <t>VII</t>
  </si>
  <si>
    <t xml:space="preserve">Расширитель (L)
</t>
  </si>
  <si>
    <t>Планка притворная</t>
  </si>
  <si>
    <t>Плинтус</t>
  </si>
  <si>
    <t>Классический</t>
  </si>
  <si>
    <t>Модерн 110</t>
  </si>
  <si>
    <t xml:space="preserve">Вид покрытия </t>
  </si>
  <si>
    <t>ширина полотна, мм</t>
  </si>
  <si>
    <t>Вид покрытия/Ширина</t>
  </si>
  <si>
    <t>Карнизы, мм</t>
  </si>
  <si>
    <t>85х1000</t>
  </si>
  <si>
    <t>85х1300</t>
  </si>
  <si>
    <t>835-1035x120</t>
  </si>
  <si>
    <t>835-1035x110</t>
  </si>
  <si>
    <t>Дверные порталы (карниз + 2 колонны), мм</t>
  </si>
  <si>
    <t>2070х85</t>
  </si>
  <si>
    <t>2120х90</t>
  </si>
  <si>
    <t>Примечание:</t>
  </si>
  <si>
    <t>Формулы расчета</t>
  </si>
  <si>
    <t>Наценки на полотна и погонаж</t>
  </si>
  <si>
    <t>Наценка</t>
  </si>
  <si>
    <t xml:space="preserve"> + % к цене полотна 2000*800 мм</t>
  </si>
  <si>
    <t xml:space="preserve"> + % к базовой цене погонажных изделий</t>
  </si>
  <si>
    <t>Наценки за изменение ширины карниза</t>
  </si>
  <si>
    <t>1 000 (для полотен 400-900)</t>
  </si>
  <si>
    <t>1 300 (для распашных 60+60 или 80+40)</t>
  </si>
  <si>
    <t>к цене карниза 2070х1300</t>
  </si>
  <si>
    <t>для обрамления нестандартных проемов</t>
  </si>
  <si>
    <t>Карниз Стандарт</t>
  </si>
  <si>
    <t>к цене карниза 2120х1300</t>
  </si>
  <si>
    <t>для полотен 600-900</t>
  </si>
  <si>
    <t>для полотен 1000-1800</t>
  </si>
  <si>
    <t>Стандартная</t>
  </si>
  <si>
    <t>М</t>
  </si>
  <si>
    <t>32х125</t>
  </si>
  <si>
    <t>Расширенная палитра</t>
  </si>
  <si>
    <t>Светлый дуб</t>
  </si>
  <si>
    <t>Темный дуб</t>
  </si>
  <si>
    <t>Каштановый орех</t>
  </si>
  <si>
    <t>Мореный дуб</t>
  </si>
  <si>
    <t>Американский орех</t>
  </si>
  <si>
    <t>2050 мм</t>
  </si>
  <si>
    <t>2000 мм</t>
  </si>
  <si>
    <r>
      <t xml:space="preserve">2. Погонаж (Q)
</t>
    </r>
    <r>
      <rPr>
        <sz val="11"/>
        <rFont val="Calibri"/>
        <family val="2"/>
        <charset val="204"/>
        <scheme val="minor"/>
      </rPr>
      <t>Конфигурация - Компланарная; Крепление - Телескоп;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</si>
  <si>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 
Современные - </t>
    </r>
    <r>
      <rPr>
        <i/>
        <sz val="11"/>
        <rFont val="Calibri"/>
        <family val="2"/>
        <charset val="204"/>
        <scheme val="minor"/>
      </rPr>
      <t xml:space="preserve">Techno, Twist, Design 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</si>
  <si>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>Provence, E-Classic</t>
    </r>
  </si>
  <si>
    <t>34 х 72 мм</t>
  </si>
  <si>
    <t>Погонажный</t>
  </si>
  <si>
    <t>Стандартный</t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</si>
  <si>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</si>
  <si>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r>
      <t>Россо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</si>
  <si>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Погонажная</t>
  </si>
  <si>
    <t>Фурнитура</t>
  </si>
  <si>
    <t>Ясень Белый</t>
  </si>
  <si>
    <t>Ясень Серый шелк</t>
  </si>
  <si>
    <t>Ясень Крем</t>
  </si>
  <si>
    <t>Эмаль BRASH Белая</t>
  </si>
  <si>
    <t>Эмаль BRASH Серый шелк</t>
  </si>
  <si>
    <t>Эмаль BRASH Крем</t>
  </si>
  <si>
    <t>Эмаль BRASH Антрацит</t>
  </si>
  <si>
    <t xml:space="preserve"> RAL</t>
  </si>
  <si>
    <t>Эмаль BRASH Ирис (Серая)</t>
  </si>
  <si>
    <t>NCS S 7502-B</t>
  </si>
  <si>
    <t>Карниз Погонажный, 
Карниз Погонажный Британия</t>
  </si>
  <si>
    <t>Grazia</t>
  </si>
  <si>
    <t>Вид</t>
  </si>
  <si>
    <t>Цвет</t>
  </si>
  <si>
    <t>матовый хром</t>
  </si>
  <si>
    <t>авторский</t>
  </si>
  <si>
    <t>Россо</t>
  </si>
  <si>
    <r>
      <t>Верона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</si>
  <si>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Верона2</t>
  </si>
  <si>
    <t>Верона1</t>
  </si>
  <si>
    <t>Россо 
с багетом 
Британия</t>
  </si>
  <si>
    <t>за 10 мм</t>
  </si>
  <si>
    <t>Черный</t>
  </si>
  <si>
    <t>Клипсы для крепления плинтуса, 
50 шт</t>
  </si>
  <si>
    <t>Россо
погонажный</t>
  </si>
  <si>
    <t>эмаль</t>
  </si>
  <si>
    <t>ARTEX</t>
  </si>
  <si>
    <t>6 мм каленое</t>
  </si>
  <si>
    <t>8 мм некаленое</t>
  </si>
  <si>
    <t>СМ1 (Матовое с одной стороны)</t>
  </si>
  <si>
    <t>СМ2 (Матовое с 2х сторон)</t>
  </si>
  <si>
    <t>Исполнение стекла</t>
  </si>
  <si>
    <r>
      <t xml:space="preserve">Алмазная гравировка
</t>
    </r>
    <r>
      <rPr>
        <i/>
        <sz val="9"/>
        <rFont val="Calibri"/>
        <family val="2"/>
        <charset val="204"/>
        <scheme val="minor"/>
      </rPr>
      <t>см1+гравировка</t>
    </r>
  </si>
  <si>
    <t>Прованс; Винтаж; Акант; Лилия</t>
  </si>
  <si>
    <r>
      <t xml:space="preserve">Рисунок по стеклу
</t>
    </r>
    <r>
      <rPr>
        <i/>
        <sz val="9"/>
        <rFont val="Calibri"/>
        <family val="2"/>
        <charset val="204"/>
        <scheme val="minor"/>
      </rPr>
      <t>(УФ печать)</t>
    </r>
  </si>
  <si>
    <t>Белое</t>
  </si>
  <si>
    <t>Матовое белое</t>
  </si>
  <si>
    <t>Доплаты</t>
  </si>
  <si>
    <t>Стеклопакет 4+4 мм</t>
  </si>
  <si>
    <t>Эклектика1;
Эклектика2;
Эклектика3</t>
  </si>
  <si>
    <t>Фацет 20 мм</t>
  </si>
  <si>
    <t>4 мм</t>
  </si>
  <si>
    <t>6 мм</t>
  </si>
  <si>
    <t xml:space="preserve"> за цвет </t>
  </si>
  <si>
    <t>Прозрачное, Белое, Черное</t>
  </si>
  <si>
    <t>Ярко-белое</t>
  </si>
  <si>
    <t>Бронза, Серое</t>
  </si>
  <si>
    <t xml:space="preserve"> за закалку 
</t>
  </si>
  <si>
    <r>
      <t xml:space="preserve">Алмазная гравировка
</t>
    </r>
    <r>
      <rPr>
        <sz val="9"/>
        <rFont val="Calibri"/>
        <family val="2"/>
        <charset val="204"/>
        <scheme val="minor"/>
      </rPr>
      <t>СМ1+гравировка</t>
    </r>
  </si>
  <si>
    <t>фурнитура</t>
  </si>
  <si>
    <t>NCS 2005-B80G</t>
  </si>
  <si>
    <t>Ясень Ниагара</t>
  </si>
  <si>
    <t>Эмаль BRASH Ниагара</t>
  </si>
  <si>
    <t>Стыковочный элемент для колонны
для крепления на оборотную сторону дверного проема</t>
  </si>
  <si>
    <t>*Отсутствие скидки/наценки -100%</t>
  </si>
  <si>
    <t>Марракеш</t>
  </si>
  <si>
    <t xml:space="preserve">    Фацет 30 мм</t>
  </si>
  <si>
    <t>ПЕРЕГОРОДКИ</t>
  </si>
  <si>
    <t>МЕЖКОМНАТНЫЕ ДВЕРИ</t>
  </si>
  <si>
    <t>ПОГОНАЖНЫЕ ИЗДЕЛИЯ</t>
  </si>
  <si>
    <t>VIII</t>
  </si>
  <si>
    <t>ДОПОЛНИТЕЛЬНЫЕ ТАБЛИЦЫ</t>
  </si>
  <si>
    <t>Брус коробочный</t>
  </si>
  <si>
    <t>СОДЕРЖАНИЕ</t>
  </si>
  <si>
    <t>Mодерн</t>
  </si>
  <si>
    <t>Решетка; Икс, R16</t>
  </si>
  <si>
    <t>RAL-7044</t>
  </si>
  <si>
    <t xml:space="preserve">  </t>
  </si>
  <si>
    <t>12 х 85 мм</t>
  </si>
  <si>
    <r>
      <t xml:space="preserve">3. Погонаж (М)
</t>
    </r>
    <r>
      <rPr>
        <sz val="11"/>
        <rFont val="Calibri"/>
        <family val="2"/>
        <charset val="204"/>
        <scheme val="minor"/>
      </rPr>
      <t>Конфигурация - Компланарная; Крепление - Клей;</t>
    </r>
  </si>
  <si>
    <t>№</t>
  </si>
  <si>
    <t>RAL-9010</t>
  </si>
  <si>
    <t>Гладкая</t>
  </si>
  <si>
    <r>
      <t xml:space="preserve">Винтаж </t>
    </r>
    <r>
      <rPr>
        <sz val="9"/>
        <rFont val="Calibri"/>
        <family val="2"/>
        <charset val="204"/>
        <scheme val="minor"/>
      </rPr>
      <t>(по эмали  для E-Classic, Provence)</t>
    </r>
  </si>
  <si>
    <t xml:space="preserve">Эмаль </t>
  </si>
  <si>
    <t>Эмаль  Белая</t>
  </si>
  <si>
    <t>Эмаль  Серый шелк</t>
  </si>
  <si>
    <t>Эмаль  Ниагара</t>
  </si>
  <si>
    <t>Эмаль  Молочно-белая</t>
  </si>
  <si>
    <t>Эмаль  Крем</t>
  </si>
  <si>
    <t>Эмаль  Ирис (Серая)</t>
  </si>
  <si>
    <t>Эмаль  Антрацит</t>
  </si>
  <si>
    <t>Применение систем открывания</t>
  </si>
  <si>
    <t>Ясень Ирис (Серая)</t>
  </si>
  <si>
    <t>Ясень Антрацит</t>
  </si>
  <si>
    <t>Шпон</t>
  </si>
  <si>
    <t>Эмаль BRASH Молочно-белая</t>
  </si>
  <si>
    <t>Погонаж</t>
  </si>
  <si>
    <t>Amelia</t>
  </si>
  <si>
    <t>Арно 110</t>
  </si>
  <si>
    <t>шт.</t>
  </si>
  <si>
    <t>Арно</t>
  </si>
  <si>
    <t>внешнего открывания</t>
  </si>
  <si>
    <t>внутреннего открывания</t>
  </si>
  <si>
    <t>Vetro17</t>
  </si>
  <si>
    <t>Garda1 (Классика1)</t>
  </si>
  <si>
    <t>Грунт</t>
  </si>
  <si>
    <t>бронза</t>
  </si>
  <si>
    <t>ДО/ДГО</t>
  </si>
  <si>
    <t xml:space="preserve"> за закалку</t>
  </si>
  <si>
    <t>Bergamo1</t>
  </si>
  <si>
    <t>Bergamo2</t>
  </si>
  <si>
    <t>Bergamo2b</t>
  </si>
  <si>
    <t>Bergamo3</t>
  </si>
  <si>
    <t>Bergamo4</t>
  </si>
  <si>
    <t>Bergamo5</t>
  </si>
  <si>
    <t>Bergamo6</t>
  </si>
  <si>
    <t>Багет "Britain" с двух сторон</t>
  </si>
  <si>
    <t>5. Погонаж для прочих изделий</t>
  </si>
  <si>
    <t>Наличник плоский</t>
  </si>
  <si>
    <t>RQ</t>
  </si>
  <si>
    <t>39*39</t>
  </si>
  <si>
    <t>Рейка для перегородок</t>
  </si>
  <si>
    <t>33*33</t>
  </si>
  <si>
    <t>45*45</t>
  </si>
  <si>
    <t>33*10</t>
  </si>
  <si>
    <t>39*10</t>
  </si>
  <si>
    <t>45*10</t>
  </si>
  <si>
    <t>50*100</t>
  </si>
  <si>
    <t xml:space="preserve">Рейка панельная </t>
  </si>
  <si>
    <t>Garda1 (К-1)</t>
  </si>
  <si>
    <t>0 категория</t>
  </si>
  <si>
    <t>Рейка фоновая</t>
  </si>
  <si>
    <t>Матовое 4+4</t>
  </si>
  <si>
    <t>Ширина 
полотна, мм</t>
  </si>
  <si>
    <t>Наценки:</t>
  </si>
  <si>
    <t>Покрытия, возможные в исполнении МАТОВОЕ 5GL:</t>
  </si>
  <si>
    <t>*По умолчанию в покрытии МАТОВЫЙ  без наценки</t>
  </si>
  <si>
    <t>золото</t>
  </si>
  <si>
    <t>черный</t>
  </si>
  <si>
    <t>42*75</t>
  </si>
  <si>
    <t>Элементы стыковочные верхние (шашки)</t>
  </si>
  <si>
    <t>Элементы стыковочные нижние (пьедесталы)</t>
  </si>
  <si>
    <t>Шашка стандартная прямая</t>
  </si>
  <si>
    <t>Шашка стандартная</t>
  </si>
  <si>
    <t>Шашка плоская</t>
  </si>
  <si>
    <t>Шашка Пирамида</t>
  </si>
  <si>
    <t>Шашка Модена</t>
  </si>
  <si>
    <t>Пьедестал стандартный прямой</t>
  </si>
  <si>
    <t>Пьедестал стандартный</t>
  </si>
  <si>
    <t>Пьедестал плоский</t>
  </si>
  <si>
    <t>Пьедестал Пирамида</t>
  </si>
  <si>
    <t>Пьедестал Модена</t>
  </si>
  <si>
    <t>Плинтуса</t>
  </si>
  <si>
    <t>Рейки</t>
  </si>
  <si>
    <t>4AL (по периметру)</t>
  </si>
  <si>
    <t>2AL (с 2х сторон)</t>
  </si>
  <si>
    <t>Коробка для двухстороннего открывания дверей</t>
  </si>
  <si>
    <t>Рекомендованное расстояние между клипсами для крепления плинтуса 0,5 метра</t>
  </si>
  <si>
    <t>Короб</t>
  </si>
  <si>
    <t>ПРОЧЕЕ</t>
  </si>
  <si>
    <t>Скрытые двери</t>
  </si>
  <si>
    <t>Карниз Британия без обкатки</t>
  </si>
  <si>
    <t>91*91*16(22)</t>
  </si>
  <si>
    <t>86*86*16(22)</t>
  </si>
  <si>
    <t>76х76х16(22)</t>
  </si>
  <si>
    <t>112*112*32</t>
  </si>
  <si>
    <t>112*112*16(22,32)</t>
  </si>
  <si>
    <t>112*112*22</t>
  </si>
  <si>
    <t>250*76*16(22)</t>
  </si>
  <si>
    <t>250*86*16(22)</t>
  </si>
  <si>
    <t>250*91*16(22)</t>
  </si>
  <si>
    <t>250*112*32</t>
  </si>
  <si>
    <t>250*76х16(22)</t>
  </si>
  <si>
    <t>250*86х16(22)</t>
  </si>
  <si>
    <t>250*91х16(22)</t>
  </si>
  <si>
    <t>250*112х16(22,32)</t>
  </si>
  <si>
    <t>250*112х22</t>
  </si>
  <si>
    <t>Погонаж для прочих изделий</t>
  </si>
  <si>
    <t>Бронза, Евробронза (серое)</t>
  </si>
  <si>
    <t>ОГРАНИЧЕНИЯ: 
1. закалка в цвете Бронза, Евробронза не производится 
2. Закалка Фацета не производится</t>
  </si>
  <si>
    <t>Варианты исполнения (ДГ, ДО, ДГО)</t>
  </si>
  <si>
    <t>Вернуться в содержание</t>
  </si>
  <si>
    <t>удаленность от Ульяновска</t>
  </si>
  <si>
    <t>наценка</t>
  </si>
  <si>
    <t>федеральные округа</t>
  </si>
  <si>
    <t>до 600 км</t>
  </si>
  <si>
    <t>ПФО</t>
  </si>
  <si>
    <t>от 601 до 1100 км</t>
  </si>
  <si>
    <t>ЦФО</t>
  </si>
  <si>
    <t>от 1101 до 1900 км</t>
  </si>
  <si>
    <t>СЗФО, УФО, ЮФО, ЦФО</t>
  </si>
  <si>
    <t>от 1901 до 3000 км</t>
  </si>
  <si>
    <t>СФО, УФО, СЗФО, Крым</t>
  </si>
  <si>
    <t>от 3001 до 6000 км</t>
  </si>
  <si>
    <t>Восточная Сибирь</t>
  </si>
  <si>
    <t>от 6001 до 8500 км</t>
  </si>
  <si>
    <t>ДФО</t>
  </si>
  <si>
    <t>свыше 8500 км</t>
  </si>
  <si>
    <t>Магадан, Сахалин, Камчатка</t>
  </si>
  <si>
    <t>Областной центр</t>
  </si>
  <si>
    <t>Регион</t>
  </si>
  <si>
    <t>Федеральный округ</t>
  </si>
  <si>
    <t>Население</t>
  </si>
  <si>
    <t>Часовой пояс</t>
  </si>
  <si>
    <t>Удаленность от Ульяновска</t>
  </si>
  <si>
    <t>Наценка к прайсу РРЦ</t>
  </si>
  <si>
    <t>Южно-сахалинск</t>
  </si>
  <si>
    <t>Сахалинская область</t>
  </si>
  <si>
    <t>Дальневосточный</t>
  </si>
  <si>
    <t>UTC+11</t>
  </si>
  <si>
    <t>Магадан</t>
  </si>
  <si>
    <t>Магаданская область</t>
  </si>
  <si>
    <t>Петропавловск-Камчатский</t>
  </si>
  <si>
    <t>Камчатский край</t>
  </si>
  <si>
    <t>UTC+12</t>
  </si>
  <si>
    <t>Владивосток</t>
  </si>
  <si>
    <t>Приморский край</t>
  </si>
  <si>
    <t>UTC+10</t>
  </si>
  <si>
    <t>Комсомольск-на-Амуре</t>
  </si>
  <si>
    <t>Хабаровский край</t>
  </si>
  <si>
    <t>Хабаровск</t>
  </si>
  <si>
    <t>Якутск</t>
  </si>
  <si>
    <t>Республика Саха</t>
  </si>
  <si>
    <t>UTC+9</t>
  </si>
  <si>
    <t>Благовещенск</t>
  </si>
  <si>
    <t>Амурская область</t>
  </si>
  <si>
    <t>Чита</t>
  </si>
  <si>
    <t>Забайкальский край</t>
  </si>
  <si>
    <t>Улан-Удэ</t>
  </si>
  <si>
    <t>Бурятия</t>
  </si>
  <si>
    <t>UTC+8</t>
  </si>
  <si>
    <t>Иркутск</t>
  </si>
  <si>
    <t>Иркутская область</t>
  </si>
  <si>
    <t>Сибирский</t>
  </si>
  <si>
    <t>Красноярск</t>
  </si>
  <si>
    <t>Красноярский край</t>
  </si>
  <si>
    <t>UTC+7</t>
  </si>
  <si>
    <t>Томск</t>
  </si>
  <si>
    <t>Томская область</t>
  </si>
  <si>
    <t>UTC+6</t>
  </si>
  <si>
    <t>Кемерово</t>
  </si>
  <si>
    <t>Кемеровская область</t>
  </si>
  <si>
    <t>Барнаул</t>
  </si>
  <si>
    <t>Алтайский край</t>
  </si>
  <si>
    <t>Новосибирск</t>
  </si>
  <si>
    <t>Новосибирская область</t>
  </si>
  <si>
    <t>Омск</t>
  </si>
  <si>
    <t>Омская область</t>
  </si>
  <si>
    <t>Нижневартовск</t>
  </si>
  <si>
    <t>Ханты-Мансийский авт. окр.</t>
  </si>
  <si>
    <t>Уральский</t>
  </si>
  <si>
    <t>UTC+5</t>
  </si>
  <si>
    <t>Сургут</t>
  </si>
  <si>
    <t>Тюмень</t>
  </si>
  <si>
    <t>Тюменская область</t>
  </si>
  <si>
    <t>Курган</t>
  </si>
  <si>
    <t>Курганская область</t>
  </si>
  <si>
    <t>Екатеринбург</t>
  </si>
  <si>
    <t>Свердловская область</t>
  </si>
  <si>
    <t>Челябинск</t>
  </si>
  <si>
    <t>Челябинская область</t>
  </si>
  <si>
    <t>Пермь</t>
  </si>
  <si>
    <t>Пермский край</t>
  </si>
  <si>
    <t>Приволжский</t>
  </si>
  <si>
    <t>Оренбург</t>
  </si>
  <si>
    <t>Оренбургская область</t>
  </si>
  <si>
    <t>Киров</t>
  </si>
  <si>
    <t>Кировская область</t>
  </si>
  <si>
    <t>UTC+3</t>
  </si>
  <si>
    <t>Уфа</t>
  </si>
  <si>
    <t>Башкортостан</t>
  </si>
  <si>
    <t>Ижевск</t>
  </si>
  <si>
    <t>Удмуртия</t>
  </si>
  <si>
    <t>UTC+4</t>
  </si>
  <si>
    <t>Саратов</t>
  </si>
  <si>
    <t>Саратовская область</t>
  </si>
  <si>
    <t>Нижний Новгород</t>
  </si>
  <si>
    <t>Нижегородская область</t>
  </si>
  <si>
    <t>Пенза</t>
  </si>
  <si>
    <t>Пензенская область</t>
  </si>
  <si>
    <t>Йошкар-Ола</t>
  </si>
  <si>
    <t>Марий Эл</t>
  </si>
  <si>
    <t>Самара</t>
  </si>
  <si>
    <t>Самарская область</t>
  </si>
  <si>
    <t>Чебоксары</t>
  </si>
  <si>
    <t>Чувашия</t>
  </si>
  <si>
    <t>Саранск</t>
  </si>
  <si>
    <t>Мордовия</t>
  </si>
  <si>
    <t>Казань</t>
  </si>
  <si>
    <t>Татарстан</t>
  </si>
  <si>
    <t>Ульяновск</t>
  </si>
  <si>
    <t>Ульяновская область</t>
  </si>
  <si>
    <t>Смоленск</t>
  </si>
  <si>
    <t>Смоленская область</t>
  </si>
  <si>
    <t>Центральный</t>
  </si>
  <si>
    <t>Брянск</t>
  </si>
  <si>
    <t>Брянская область</t>
  </si>
  <si>
    <t>Белгород</t>
  </si>
  <si>
    <t>Белгородская область</t>
  </si>
  <si>
    <t>Курск</t>
  </si>
  <si>
    <t>Курская область</t>
  </si>
  <si>
    <t>Орёл</t>
  </si>
  <si>
    <t>Орловская область</t>
  </si>
  <si>
    <t>Тверь</t>
  </si>
  <si>
    <t>Тверская область</t>
  </si>
  <si>
    <t>Калуга</t>
  </si>
  <si>
    <t>Калужская область</t>
  </si>
  <si>
    <t>Москва</t>
  </si>
  <si>
    <t>Воронеж</t>
  </si>
  <si>
    <t>Воронежская область</t>
  </si>
  <si>
    <t>Тула</t>
  </si>
  <si>
    <t>Тульская область</t>
  </si>
  <si>
    <t>Ярославль</t>
  </si>
  <si>
    <t>Ярославская область</t>
  </si>
  <si>
    <t>Кострома</t>
  </si>
  <si>
    <t>Костромская область</t>
  </si>
  <si>
    <t>Липецк</t>
  </si>
  <si>
    <t>Липецкая область</t>
  </si>
  <si>
    <t>Иваново</t>
  </si>
  <si>
    <t>Ивановская область</t>
  </si>
  <si>
    <t>Владимир</t>
  </si>
  <si>
    <t>Владимирская область</t>
  </si>
  <si>
    <t>Рязань</t>
  </si>
  <si>
    <t>Рязанская область</t>
  </si>
  <si>
    <t>Тамбов</t>
  </si>
  <si>
    <t>Тамбовская область</t>
  </si>
  <si>
    <t>Мурманск</t>
  </si>
  <si>
    <t>Мурманская область</t>
  </si>
  <si>
    <t>Северо-Западный</t>
  </si>
  <si>
    <t>Калининград</t>
  </si>
  <si>
    <t>Калининградская область</t>
  </si>
  <si>
    <t>UTC+2</t>
  </si>
  <si>
    <t>Петрозаводск</t>
  </si>
  <si>
    <t>Карелия</t>
  </si>
  <si>
    <t>Псков</t>
  </si>
  <si>
    <t>Псковская область</t>
  </si>
  <si>
    <t>Архангельск</t>
  </si>
  <si>
    <t>Архангельская область</t>
  </si>
  <si>
    <t>Санкт-Петербург</t>
  </si>
  <si>
    <t>Великий Новгород</t>
  </si>
  <si>
    <t>Новгородская область</t>
  </si>
  <si>
    <t>Сыктывкар</t>
  </si>
  <si>
    <t>Коми</t>
  </si>
  <si>
    <t>Вологда</t>
  </si>
  <si>
    <t>Вологодская область</t>
  </si>
  <si>
    <t>Махачкала</t>
  </si>
  <si>
    <t>Дагестан</t>
  </si>
  <si>
    <t>Северо-Кавказский</t>
  </si>
  <si>
    <t>Владикавказ</t>
  </si>
  <si>
    <t>Северная Осетия - Алания</t>
  </si>
  <si>
    <t>Грозный</t>
  </si>
  <si>
    <t>Чечня</t>
  </si>
  <si>
    <t>Нальчик</t>
  </si>
  <si>
    <t>Кабардино-Балкария</t>
  </si>
  <si>
    <t>Ставрополь</t>
  </si>
  <si>
    <t>Краснодар</t>
  </si>
  <si>
    <t>Краснодарский край</t>
  </si>
  <si>
    <t>Южный</t>
  </si>
  <si>
    <t>Ростов-на-Дону</t>
  </si>
  <si>
    <t>Ростовская область</t>
  </si>
  <si>
    <t>Астрахань</t>
  </si>
  <si>
    <t>Астраханская область</t>
  </si>
  <si>
    <t>Волгоград</t>
  </si>
  <si>
    <t>Волгоградская область</t>
  </si>
  <si>
    <t>Симферополь</t>
  </si>
  <si>
    <t>Крым</t>
  </si>
  <si>
    <t>16 х 110 мм</t>
  </si>
  <si>
    <t>Схема соединения погонажа М через:</t>
  </si>
  <si>
    <t xml:space="preserve"> L расширитель</t>
  </si>
  <si>
    <t>M расширитель</t>
  </si>
  <si>
    <t xml:space="preserve">1.  Стыковочные элементы верхние (шашки)
</t>
  </si>
  <si>
    <t>Мускат*</t>
  </si>
  <si>
    <t>1. Декоративные рейки</t>
  </si>
  <si>
    <t>Элиста</t>
  </si>
  <si>
    <t>Калмыкия</t>
  </si>
  <si>
    <t>Рейки для перегородок заказываются кратно 5, рейки декоративные - кратно 12.</t>
  </si>
  <si>
    <t>2.Если высота фрамуги от 1000мм и ниже, то стоимость = Цена полотна х 0.7</t>
  </si>
  <si>
    <t>- типовой профиль L расширителя с пазом с одной стороны</t>
  </si>
  <si>
    <t>- плоский расширитель с кромками</t>
  </si>
  <si>
    <t>Стеновые панели</t>
  </si>
  <si>
    <t xml:space="preserve">Вид покрытия
</t>
  </si>
  <si>
    <t>Торцевой элемент для стеновой панели</t>
  </si>
  <si>
    <t>Фрамуги</t>
  </si>
  <si>
    <t>1. Пьедестал Пирамида в шпоне ясень не изготавливается</t>
  </si>
  <si>
    <t>на дверь 600 (700, 800, 900)</t>
  </si>
  <si>
    <t>Карниз Верона 1, 
Карниз Верона 2,                                                                                                       Россо</t>
  </si>
  <si>
    <t>M</t>
  </si>
  <si>
    <t>M110</t>
  </si>
  <si>
    <t>Плинтус плоский</t>
  </si>
  <si>
    <t>Карниз погонажный</t>
  </si>
  <si>
    <t>Карниз стандартный</t>
  </si>
  <si>
    <t>Карниз Британия</t>
  </si>
  <si>
    <t>Карниз Верона</t>
  </si>
  <si>
    <t>Карниз Россо</t>
  </si>
  <si>
    <t>Колонна погонажная</t>
  </si>
  <si>
    <t>Колонна стандартная</t>
  </si>
  <si>
    <t>Россо с Брит</t>
  </si>
  <si>
    <t>Россо погон</t>
  </si>
  <si>
    <t>ШПОН НАТУРАЛЬНЫЙ</t>
  </si>
  <si>
    <t>белый</t>
  </si>
  <si>
    <t>наименование</t>
  </si>
  <si>
    <t>РЕКЛАМНАЯ ПРОДУКЦИЯ</t>
  </si>
  <si>
    <t>полотно</t>
  </si>
  <si>
    <t>шпон</t>
  </si>
  <si>
    <t>34 х 69 мм</t>
  </si>
  <si>
    <t>Список изменений прайса</t>
  </si>
  <si>
    <t>Версия прайса</t>
  </si>
  <si>
    <t>Вкладка</t>
  </si>
  <si>
    <t>400, 500, 600, 700, 800</t>
  </si>
  <si>
    <t xml:space="preserve">**Стоимость стекла для комплектации Florence 4а ДГО2 рассчитывается как 30% от стоимости стекла для Florence 4а ДО </t>
  </si>
  <si>
    <t>Step</t>
  </si>
  <si>
    <t>Elegance 1</t>
  </si>
  <si>
    <t>Elegance 2</t>
  </si>
  <si>
    <t>Elegance 3</t>
  </si>
  <si>
    <t>Elegance 4</t>
  </si>
  <si>
    <t>Дуб Песочный*</t>
  </si>
  <si>
    <t>3. Торцевой и стыковочный элементы в стоимость не входят и заказываются отдельно</t>
  </si>
  <si>
    <t xml:space="preserve"> Стеновые панели</t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</si>
  <si>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</si>
  <si>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t>1. Чертеж фрамуги по индивидуальным размерам запрашивается дополнительно.</t>
  </si>
  <si>
    <t>Elegance 5</t>
  </si>
  <si>
    <t>Elegance 6</t>
  </si>
  <si>
    <t>Редакция от 13.05.21</t>
  </si>
  <si>
    <t>Наценки</t>
  </si>
  <si>
    <t>Редакция от 19.05.21</t>
  </si>
  <si>
    <t>Системы Twice, Roto</t>
  </si>
  <si>
    <t>Система Roto используется только для высоты 2100</t>
  </si>
  <si>
    <t>Редакция от 20.05.21</t>
  </si>
  <si>
    <t>Добавлена информация о стабилизаторе коробления</t>
  </si>
  <si>
    <t>Редакция от 01.06.21</t>
  </si>
  <si>
    <t>Добавлен WL наличник в эмали</t>
  </si>
  <si>
    <t>Дата прайса</t>
  </si>
  <si>
    <t>Плинтус Арно 110 -размер 2000мм, стоимость 1130руб.</t>
  </si>
  <si>
    <t xml:space="preserve">Цвет петель - матовый хром(никель)*                                * - название цвета определяется поставщиком                         </t>
  </si>
  <si>
    <t>Корректировка цен на деревянные изделия от 1 до 7% на отдельные единицы;
Увеличение цен на алюминиевые изделия на 5%;
Увеличение цен на фурнитуру до 3%
Покрытие «инженерный шпон» выводится из ассортимента</t>
  </si>
  <si>
    <t>добавлена таблица стоимости алюминиевой кромки</t>
  </si>
  <si>
    <t>Neoclassic Florence</t>
  </si>
  <si>
    <t>Добавлена строка "Комплектность" в таблицу "Ручки-лодочки"</t>
  </si>
  <si>
    <t>Увеличение цен на продукцию на 5%</t>
  </si>
  <si>
    <t>пакет п/п А4</t>
  </si>
  <si>
    <t>ручка</t>
  </si>
  <si>
    <t>блокнот А5</t>
  </si>
  <si>
    <t>флаги настольные двухрожковые</t>
  </si>
  <si>
    <t>было</t>
  </si>
  <si>
    <t>стало</t>
  </si>
  <si>
    <t>Изменение цен:</t>
  </si>
  <si>
    <t>Изменение ассортимента:</t>
  </si>
  <si>
    <t xml:space="preserve">прайс 01.03.21
</t>
  </si>
  <si>
    <t>редакция 1 от 01.03.21</t>
  </si>
  <si>
    <t>редакция 2 от 08.04.21</t>
  </si>
  <si>
    <t xml:space="preserve">редакция 3 от 09.04.2021
</t>
  </si>
  <si>
    <t>редакция 1 от 23.04.21</t>
  </si>
  <si>
    <t>Снижение цен на серию Modena коллекции  E-classic;</t>
  </si>
  <si>
    <t>Снижение цен на коллекцию перегородок Steel;</t>
  </si>
  <si>
    <t>Корректировка цен на коллецию перегородок Grazia.</t>
  </si>
  <si>
    <t>Введение новой коллекции  Elegance;</t>
  </si>
  <si>
    <t>Введение новой модели Step в коллекцию Modern;</t>
  </si>
  <si>
    <t>Введение новой модели наличника и плинтуса Step;</t>
  </si>
  <si>
    <t xml:space="preserve">прайс 09.06.21
</t>
  </si>
  <si>
    <t>прайс 23.04.21</t>
  </si>
  <si>
    <t>редакция 1 от 09.06.21</t>
  </si>
  <si>
    <t>Введение реечных стеновых панелей;</t>
  </si>
  <si>
    <t>Добавление ассортимента в разделе "Рекламная продукция";</t>
  </si>
  <si>
    <t>Разделение вкладок стеновые панели и прочие конструкции;</t>
  </si>
  <si>
    <t>Добавление вкладки "Рекомендованные скидки для розничного клиента".</t>
  </si>
  <si>
    <t>Введение названия погонажных изделий без паза- Z;</t>
  </si>
  <si>
    <t>стоимость, руб.</t>
  </si>
  <si>
    <t>Введение покрытия шпон "Дуб песочный"</t>
  </si>
  <si>
    <t>E-Classic</t>
  </si>
  <si>
    <t>Design</t>
  </si>
  <si>
    <t>Перегородки STEEL</t>
  </si>
  <si>
    <t>Перегородки Grazia</t>
  </si>
  <si>
    <t>Elegance</t>
  </si>
  <si>
    <t>Modern Turin</t>
  </si>
  <si>
    <t>Погонаж, Плинтуса</t>
  </si>
  <si>
    <t>Стен. Панели</t>
  </si>
  <si>
    <t>Покрытия</t>
  </si>
  <si>
    <t>Рекламная продукция</t>
  </si>
  <si>
    <t xml:space="preserve">Сумма заказа </t>
  </si>
  <si>
    <t>(без учета фурнитуры и монтажных работ)</t>
  </si>
  <si>
    <t>% скидки</t>
  </si>
  <si>
    <t>тыс.руб.</t>
  </si>
  <si>
    <t>от 50 до 75</t>
  </si>
  <si>
    <t>от 76 до 100</t>
  </si>
  <si>
    <t>от 101 до 150</t>
  </si>
  <si>
    <t>от 151 до 200</t>
  </si>
  <si>
    <t>от 201 до 300</t>
  </si>
  <si>
    <t>от 301 до 400</t>
  </si>
  <si>
    <t>Свыше 400</t>
  </si>
  <si>
    <t>- расширитель Z (типовой профиль L расширителя без пазов, не телескопический)</t>
  </si>
  <si>
    <t>Скидки розница</t>
  </si>
  <si>
    <t>Снижение цен на модель Vetro11 в покрытии Artex  коллекции  Techno;</t>
  </si>
  <si>
    <t>Techno</t>
  </si>
  <si>
    <t>Снижение цен на серию L`union, Combo коллекции  Design;</t>
  </si>
  <si>
    <t>Снижение цен на серию Rino/Lina в покрытии Artex  коллекции  Fusion;</t>
  </si>
  <si>
    <t>Fusion</t>
  </si>
  <si>
    <t>Прочие изменения:</t>
  </si>
  <si>
    <t>Рекомендованные скидки для розничного клиента в зависимости от объема заказа</t>
  </si>
  <si>
    <t>Снижение цен на коллекцию  Provence Sienna;</t>
  </si>
  <si>
    <t>Sienna</t>
  </si>
  <si>
    <t>Система Roto используется  для высоты 2300</t>
  </si>
  <si>
    <t>Петли К2700</t>
  </si>
  <si>
    <t xml:space="preserve">Петли К2760 </t>
  </si>
  <si>
    <t>Брус коробочный L, M,Q- 2070мм</t>
  </si>
  <si>
    <t>Брус коробочный L, M,Q - 2070(-20)мм</t>
  </si>
  <si>
    <t>Расширители 2150мм</t>
  </si>
  <si>
    <t>Расширители 2150(-20)мм</t>
  </si>
  <si>
    <t>4. Все стеновые панели изготавливаются по эскизу.</t>
  </si>
  <si>
    <t>редакция 2 от 16.06.21</t>
  </si>
  <si>
    <t>Ограничения по размерам</t>
  </si>
  <si>
    <t>Добавлена информация об ограничениях по размеру полотен коллекции Elegance и модели Step</t>
  </si>
  <si>
    <t>Добавлена вкладка " Допустимые размеры погонажных изделий в зависимости от вида покрытия"</t>
  </si>
  <si>
    <t>Доп. размеры погонажа</t>
  </si>
  <si>
    <t>Погонаж (L, Q, M, Z)</t>
  </si>
  <si>
    <t>Планка
притворная</t>
  </si>
  <si>
    <t>Монтажные элементы для пеналов</t>
  </si>
  <si>
    <t xml:space="preserve">Брус коробочный под монтаж пеналов  </t>
  </si>
  <si>
    <t>Монтажные элементы для подвесных систем</t>
  </si>
  <si>
    <t xml:space="preserve">Облицовочная планка </t>
  </si>
  <si>
    <t>Брус коробочный под монтаж перегородок</t>
  </si>
  <si>
    <t>Пьедестал
стандартный прямой</t>
  </si>
  <si>
    <t>Пьедестал
стандартный</t>
  </si>
  <si>
    <t>прайс 28.06.21</t>
  </si>
  <si>
    <t>редакция 1 от 28.06.2021</t>
  </si>
  <si>
    <t>Прочий погонаж</t>
  </si>
  <si>
    <t>Увеличение цен на продукцию на 6% ( за исключением перегородок коллекций
Corsa, Grazia, дверей-жалюзи, фурнитуры и рекламной продукции);</t>
  </si>
  <si>
    <t>Разделение филенчатых стеновых панелей на 2 вида - филенчатые и багетные;</t>
  </si>
  <si>
    <t>Скорректирована информация  об ограничениях по размеру полотен коллекции Elegance и модели Step;</t>
  </si>
  <si>
    <t>Добавлена информация о размерном ряде наличника и плинтуса Step;</t>
  </si>
  <si>
    <t>Введение нового типа монтажных элементов для подвесных систем;</t>
  </si>
  <si>
    <t>Elegance 2b</t>
  </si>
  <si>
    <t>Скорректирована информация  об установке на системы открывания полотен коллекции Elegance и модели Step;</t>
  </si>
  <si>
    <t>STEEL</t>
  </si>
  <si>
    <t>Введение доп.опции по установке уплотнителя для перегородок;</t>
  </si>
  <si>
    <t>Перегородки Corsa, Grazia</t>
  </si>
  <si>
    <t>редакция 2 от 06.07.2021</t>
  </si>
  <si>
    <t>Добавлена информация по стоимости откатных механизмов для алюминиевых перегородок</t>
  </si>
  <si>
    <t>Противопожарные двери</t>
  </si>
  <si>
    <t xml:space="preserve">Вкладка временно убрана </t>
  </si>
  <si>
    <t>погонаж</t>
  </si>
  <si>
    <t>Алюминий</t>
  </si>
  <si>
    <t>Шпон, эмаль</t>
  </si>
  <si>
    <t>справочно: рекомендованная розничная наценка</t>
  </si>
  <si>
    <t>все не входящие в прочие категории</t>
  </si>
  <si>
    <t>Steel</t>
  </si>
  <si>
    <t>PORTE грунт</t>
  </si>
  <si>
    <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</si>
  <si>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</si>
  <si>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</si>
  <si>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E-classic design,Bergamo, Design, Grazia, Amelia</t>
  </si>
  <si>
    <t xml:space="preserve"> Neoclassic,Standart, Fusion, Twist, Techno, Corsa</t>
  </si>
  <si>
    <t>Прайс-лист  сформирован в РРЦ, цены прайса и сайта совпадают.</t>
  </si>
  <si>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Е8 -Е22. Например 37%.
2. При необходимости можно установить региональные наценки. Например, при региональной наценке в 5% необходимо поставить  105 в ячейки G8-G22. Рекомендуемые наценки по регионам находятся во вкладке «наценки РФ».
3.Также можно получить прайс в у.е., при установке курса у.е в ячейку В2
</t>
  </si>
  <si>
    <r>
      <t>Rimini1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</si>
  <si>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Rimini2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</si>
  <si>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Rimini4 </t>
  </si>
  <si>
    <r>
      <t>Rosso2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</si>
  <si>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Rosso7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</si>
  <si>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Rosso8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</si>
  <si>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</si>
  <si>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</si>
  <si>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</si>
  <si>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Palermo1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</si>
  <si>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Palermo2</t>
  </si>
  <si>
    <r>
      <t>Venice6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</si>
  <si>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Coliseum6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</si>
  <si>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rPr>
        <b/>
        <sz val="10"/>
        <color theme="1"/>
        <rFont val="Calibri"/>
        <family val="2"/>
        <charset val="204"/>
        <scheme val="minor"/>
      </rPr>
      <t>Arno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</si>
  <si>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</si>
  <si>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</si>
  <si>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</si>
  <si>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Turin4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</si>
  <si>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</si>
  <si>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</si>
  <si>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</si>
  <si>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Garda1 </t>
  </si>
  <si>
    <t>Florence4</t>
  </si>
  <si>
    <r>
      <t>Amelia8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</si>
  <si>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Amelia10</t>
  </si>
  <si>
    <r>
      <t>Amelia12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</si>
  <si>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AmeliaArc1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</si>
  <si>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Sienna </t>
  </si>
  <si>
    <t xml:space="preserve">Sienna10 </t>
  </si>
  <si>
    <t xml:space="preserve">SiennaX3 </t>
  </si>
  <si>
    <t xml:space="preserve">Sienna1 </t>
  </si>
  <si>
    <r>
      <t>Vetro11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</si>
  <si>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</si>
  <si>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</si>
  <si>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</si>
  <si>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Изменения в структуре прайса:</t>
  </si>
  <si>
    <t>Коллекция E-classic разделена на 2 линейки:  E-classic и  E-classic design, добавлена вкладка E-classic design</t>
  </si>
  <si>
    <t>E-classic design</t>
  </si>
  <si>
    <t>Модели Combo перенесены во вкладку Twist</t>
  </si>
  <si>
    <t>Twist</t>
  </si>
  <si>
    <t>LL</t>
  </si>
  <si>
    <t>10*75</t>
  </si>
  <si>
    <t>10*90</t>
  </si>
  <si>
    <t>16*75</t>
  </si>
  <si>
    <t>16*90</t>
  </si>
  <si>
    <t>12*85</t>
  </si>
  <si>
    <t>15*85</t>
  </si>
  <si>
    <t>23*110</t>
  </si>
  <si>
    <t>16*110</t>
  </si>
  <si>
    <t>25*110</t>
  </si>
  <si>
    <t>за 10мм</t>
  </si>
  <si>
    <t>10*40</t>
  </si>
  <si>
    <t>10*120</t>
  </si>
  <si>
    <t>450*450</t>
  </si>
  <si>
    <t>за кв.м</t>
  </si>
  <si>
    <t>филенчатая фрезерованная</t>
  </si>
  <si>
    <t>филенчатая багетная</t>
  </si>
  <si>
    <t>база</t>
  </si>
  <si>
    <t>2. Щитовые фрезерованные стеновые панели заказываются кратно 4 шт.</t>
  </si>
  <si>
    <t>Плоские, м2</t>
  </si>
  <si>
    <t>Реечные, м2</t>
  </si>
  <si>
    <t>Фрезерованные, м2</t>
  </si>
  <si>
    <t>Багетные, м2</t>
  </si>
  <si>
    <t>филенчатые</t>
  </si>
  <si>
    <t>1.Щитовые фрезерованные и реечные стеновые панели изготавливаются только в следующих покрытиях: эмаль, шпон дуба (светлый дуб, темный дуб, мореный дуб, марракеш)</t>
  </si>
  <si>
    <t>Ясень Телегрей</t>
  </si>
  <si>
    <t>Эмаль  Телегрей</t>
  </si>
  <si>
    <t>RAL-7047</t>
  </si>
  <si>
    <t>Дуб Кварц*</t>
  </si>
  <si>
    <t>Дуб Нефрит*</t>
  </si>
  <si>
    <r>
      <t xml:space="preserve">Покрытия, возможные в исполнении </t>
    </r>
    <r>
      <rPr>
        <b/>
        <u/>
        <sz val="10"/>
        <rFont val="Arial Cyr"/>
        <charset val="204"/>
      </rPr>
      <t>только щитовы</t>
    </r>
    <r>
      <rPr>
        <sz val="10"/>
        <rFont val="Arial Cyr"/>
      </rPr>
      <t>х полотен:</t>
    </r>
  </si>
  <si>
    <t>ПВХ, Алюминий</t>
  </si>
  <si>
    <t>ARTEX, STEEL, Грунт</t>
  </si>
  <si>
    <t>Z</t>
  </si>
  <si>
    <t>под пенал</t>
  </si>
  <si>
    <t>барный</t>
  </si>
  <si>
    <t>Деревянный</t>
  </si>
  <si>
    <t>Z полукруглый</t>
  </si>
  <si>
    <t>Z 
прямой</t>
  </si>
  <si>
    <t xml:space="preserve">Расширитель  </t>
  </si>
  <si>
    <t>Стыковочные элементы</t>
  </si>
  <si>
    <t>группа</t>
  </si>
  <si>
    <t>размер</t>
  </si>
  <si>
    <t>принцип расчета</t>
  </si>
  <si>
    <t>ШПОН</t>
  </si>
  <si>
    <t>верхние</t>
  </si>
  <si>
    <t>нижние</t>
  </si>
  <si>
    <t>Плинтус классический</t>
  </si>
  <si>
    <t xml:space="preserve">Телескопический </t>
  </si>
  <si>
    <t>Компланарный</t>
  </si>
  <si>
    <t>Гвоздевой</t>
  </si>
  <si>
    <t>Модерн 
110</t>
  </si>
  <si>
    <t>Арно 
110</t>
  </si>
  <si>
    <t>щитовая плоская</t>
  </si>
  <si>
    <t>щитовая фрезерованная</t>
  </si>
  <si>
    <t>на дверь 600 
(700, 800, 900)</t>
  </si>
  <si>
    <t>на дверь 600
(700, 800, 900)</t>
  </si>
  <si>
    <t>щитовые</t>
  </si>
  <si>
    <t>Порталы</t>
  </si>
  <si>
    <t>76х76х16
(22)</t>
  </si>
  <si>
    <t>34*75</t>
  </si>
  <si>
    <t>34*71</t>
  </si>
  <si>
    <t>34*69</t>
  </si>
  <si>
    <t>34*72</t>
  </si>
  <si>
    <t>32*125</t>
  </si>
  <si>
    <t>M
(16 мм)</t>
  </si>
  <si>
    <t>Z  (10мм)</t>
  </si>
  <si>
    <t>панельная, 2.7 м</t>
  </si>
  <si>
    <t>фоновая 2.7 м</t>
  </si>
  <si>
    <t>перегородка 2.7 м</t>
  </si>
  <si>
    <t>по цене L</t>
  </si>
  <si>
    <t>ручная корректировка</t>
  </si>
  <si>
    <t>базовые цены -забиваются вручную</t>
  </si>
  <si>
    <t>по цене L 10*90</t>
  </si>
  <si>
    <t>по цене ML 15*85</t>
  </si>
  <si>
    <t>по цене Модерн</t>
  </si>
  <si>
    <t>по цене L 10*75</t>
  </si>
  <si>
    <t>по цене L полукруглово16*75</t>
  </si>
  <si>
    <t>по цене L 75</t>
  </si>
  <si>
    <t>по цене L 150</t>
  </si>
  <si>
    <t>по цене притворной планки</t>
  </si>
  <si>
    <t>Шашка 
Модена</t>
  </si>
  <si>
    <t>по цене  Россо</t>
  </si>
  <si>
    <t>PORTE01</t>
  </si>
  <si>
    <t>TURIN</t>
  </si>
  <si>
    <t>PALERMO</t>
  </si>
  <si>
    <t>кв.м</t>
  </si>
  <si>
    <t>RIMINI</t>
  </si>
  <si>
    <t>Florence4
(Флоренция Классик)</t>
  </si>
  <si>
    <t>Rimini2 (Римини)</t>
  </si>
  <si>
    <t>Rimini1 (new)</t>
  </si>
  <si>
    <t>Rimini4 (Парма)</t>
  </si>
  <si>
    <t>Rosso2 (Россо2)</t>
  </si>
  <si>
    <t>Strada01
(Страда ДГ)</t>
  </si>
  <si>
    <t>Strada11
(Страда ДО)</t>
  </si>
  <si>
    <t>Strada14
(Зебра2 ДО)</t>
  </si>
  <si>
    <t>Strada15*
(Зебра4 ДО)</t>
  </si>
  <si>
    <r>
      <t xml:space="preserve">Vario11 
</t>
    </r>
    <r>
      <rPr>
        <sz val="9"/>
        <rFont val="Calibri"/>
        <family val="2"/>
        <charset val="204"/>
        <scheme val="minor"/>
      </rPr>
      <t>(Варио ДО)</t>
    </r>
  </si>
  <si>
    <t>Porte01 (Футуро0)</t>
  </si>
  <si>
    <t>Amelia8 (Амелия1)</t>
  </si>
  <si>
    <t>AmeliaArc1 (Амелия5)</t>
  </si>
  <si>
    <t>на 20% меньше щитовой фрезерованной панели</t>
  </si>
  <si>
    <t>Изменение цен по всем линейкам</t>
  </si>
  <si>
    <t>Спец.цены на покурытие лофт не действуют.</t>
  </si>
  <si>
    <t>редакция 1 от 30.07.2021</t>
  </si>
  <si>
    <t>прайс 30.07.21</t>
  </si>
  <si>
    <t>В случае необходимости соединения 2-х реек 45*45 в единый блок 45*90  необходимо заказать соединитель из мдф. 
Стоимость 200 руб. за размер 2400 мм</t>
  </si>
  <si>
    <t>При креплении реек на на декоративную подложку стоимость подложки расчитывается 
как стоимость плоской стеновой панели
 (см.вкладку "Стеновые панели")</t>
  </si>
  <si>
    <t>Для монтажа необходимо дополнительно заказать набор шаблонов для установки монтажных брусков. 
В набор входит комплект из 3-х шаблонов под каждый размер панельной рейки.  
Стоимость шаблона 1500 руб. Заказывается единоразово.</t>
  </si>
  <si>
    <t>Введение нового стандартного цвета эмали ТЕЛЕГРЕЙ (ral7047)</t>
  </si>
  <si>
    <t>Введение в щитовые полотна цветов дуба Кварц, Опал, Нефрит, Имбирь</t>
  </si>
  <si>
    <t>Введение белой гладкой пленки Велюр белый снег для щитовых полотен.</t>
  </si>
  <si>
    <t>Рекомендуемые логистические наценки по регионам</t>
  </si>
  <si>
    <t>Покрытия: ШПОН, ЭМАЛЬ</t>
  </si>
  <si>
    <t>Стыковочные  элементы</t>
  </si>
  <si>
    <t>Фрамуги и накладки</t>
  </si>
  <si>
    <t>Standart Strada</t>
  </si>
  <si>
    <t>Толщина профиля Бабочка (колонна Погонажная) -16мм</t>
  </si>
  <si>
    <t>Толщина профиля Бабочка (колонна Погонажная) -12мм</t>
  </si>
  <si>
    <t xml:space="preserve">Исправлена стоимость шпонированных  полотен Strada коллекции Standart </t>
  </si>
  <si>
    <t>Исправлена стоимость полотен Florence 4a коллекции Neoclassic</t>
  </si>
  <si>
    <t>ПОРТАЛЫ: КОЛОННЫ И КАРНИЗЫ</t>
  </si>
  <si>
    <t>Исправлена стоимость полотна Vetro14 коллекции Techno</t>
  </si>
  <si>
    <t>редакция 2 от 05.08.2021</t>
  </si>
  <si>
    <t>редакция 3 от 11.08.2021</t>
  </si>
  <si>
    <t>Пленка ARTEX Крымское дерево</t>
  </si>
  <si>
    <t>Выведена из ассортимента</t>
  </si>
  <si>
    <t xml:space="preserve">Покрытия_artex </t>
  </si>
  <si>
    <t>Толщина ML наличника - 15мм</t>
  </si>
  <si>
    <t>Толщина ML наличника - 16мм</t>
  </si>
  <si>
    <t>Добавлена стоимость перегородки Grazia для высоты до 2700мм</t>
  </si>
  <si>
    <t>10х 75 мм</t>
  </si>
  <si>
    <t>Полукруглый L-наличник</t>
  </si>
  <si>
    <t>Выведен из ассортимента</t>
  </si>
  <si>
    <t xml:space="preserve">Добавлен Z  наличник </t>
  </si>
  <si>
    <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</si>
  <si>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Изменены розничные наценки на коллекцию ARTEX, грунтованные полотна, алюминиевые короба</t>
  </si>
  <si>
    <t>редакция 4 от 30.08.2021</t>
  </si>
  <si>
    <t>Vetro18</t>
  </si>
  <si>
    <t>Погонажные изделия к полотнам (коробки, наличники, колонны, расширители)</t>
  </si>
  <si>
    <t>Увеличена розничная наценка на продукцию в покрытии artex</t>
  </si>
  <si>
    <t>прайс 04.10.21</t>
  </si>
  <si>
    <t>редакция 1 от 04.10.2021</t>
  </si>
  <si>
    <t>Изменение цен на фурнитуру Morelli на 10%</t>
  </si>
  <si>
    <t>раздел Фурнитура</t>
  </si>
  <si>
    <t>Введены новые цвета Artex в коллекции SOFT COLOR</t>
  </si>
  <si>
    <t>Введены новые цвета Artex в коллекции WOOD TANGENTAL</t>
  </si>
  <si>
    <t>коэф.1</t>
  </si>
  <si>
    <t>коэф.2</t>
  </si>
  <si>
    <t>СЕРЕБРО</t>
  </si>
  <si>
    <t>ЗОЛОТО</t>
  </si>
  <si>
    <t>БРОНЗА</t>
  </si>
  <si>
    <t>ГРАФИТ</t>
  </si>
  <si>
    <t>ОПТ</t>
  </si>
  <si>
    <t>РОЗН</t>
  </si>
  <si>
    <t>Зеркало с фацетом
(с одной стороны)</t>
  </si>
  <si>
    <t>производство</t>
  </si>
  <si>
    <t>перепродажа</t>
  </si>
  <si>
    <t>белое</t>
  </si>
  <si>
    <t>Фацет</t>
  </si>
  <si>
    <t>СМ1</t>
  </si>
  <si>
    <t>СМ2</t>
  </si>
  <si>
    <t>Алмазная гравировка</t>
  </si>
  <si>
    <t>черное</t>
  </si>
  <si>
    <t>Черное, Бронза, Серое, Белое, Айвори</t>
  </si>
  <si>
    <t>Рисунок по стеклу</t>
  </si>
  <si>
    <t>Матовое 
белое</t>
  </si>
  <si>
    <t>Белый, Лак, Корич., Умбра</t>
  </si>
  <si>
    <t>Продиры "ВИНТАЖ" (с одной стороны)</t>
  </si>
  <si>
    <t>ПРИМЕЧАНИЕ</t>
  </si>
  <si>
    <t>Paulo1/2</t>
  </si>
  <si>
    <t>Paulo3/4</t>
  </si>
  <si>
    <t>Акант; Эклектика 1; 
Рисунок 1; Рисунок 2; Рисунок 4; Рисунок 6, Рисунок 10</t>
  </si>
  <si>
    <r>
      <t>Rino4/Lina6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</si>
  <si>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Strada11</t>
  </si>
  <si>
    <t>Strada14</t>
  </si>
  <si>
    <t>Strada15</t>
  </si>
  <si>
    <t>Strada01</t>
  </si>
  <si>
    <t xml:space="preserve">Рисунок "Страда" </t>
  </si>
  <si>
    <r>
      <t xml:space="preserve">сторона1 - зеркало
сторона2 - триплекс черный;
</t>
    </r>
    <r>
      <rPr>
        <u/>
        <sz val="9"/>
        <rFont val="Calibri"/>
        <family val="2"/>
        <charset val="204"/>
        <scheme val="minor"/>
      </rPr>
      <t/>
    </r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</si>
  <si>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>Варио,Рояль</t>
    </r>
    <r>
      <rPr>
        <sz val="9"/>
        <rFont val="Calibri"/>
        <family val="2"/>
        <charset val="204"/>
        <scheme val="minor"/>
      </rPr>
      <t>,</t>
    </r>
    <r>
      <rPr>
        <i/>
        <sz val="9"/>
        <rFont val="Calibri"/>
        <family val="2"/>
        <charset val="204"/>
        <scheme val="minor"/>
      </rPr>
      <t xml:space="preserve"> Анголо</t>
    </r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</si>
  <si>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 xml:space="preserve"> гравировка+стразы</t>
    </r>
  </si>
  <si>
    <t>Триплекс 4+4 мм</t>
  </si>
  <si>
    <t xml:space="preserve">Vario11 </t>
  </si>
  <si>
    <t>серия Linea</t>
  </si>
  <si>
    <t>серия Twist</t>
  </si>
  <si>
    <r>
      <t>серия Lingo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</si>
  <si>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Зеркало (с одной стороны)</t>
  </si>
  <si>
    <t>RAL/ NCS</t>
  </si>
  <si>
    <t>Vetro 18 (new)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</si>
  <si>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Porte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</si>
  <si>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Vetro</t>
    </r>
  </si>
  <si>
    <t>Эмаль BRASH Телегрей</t>
  </si>
  <si>
    <t>1950 мм</t>
  </si>
  <si>
    <t>прайс 01.11.21</t>
  </si>
  <si>
    <t>скидка</t>
  </si>
  <si>
    <t>Крепежный брус для реек-перегородок заказывается отдельной позицией. Длина 1 м. Стоимость его входит в цену реек-перегородок. При заказе отдельно - 1/2 бруса-коробочного L в соответствующем покрытии.</t>
  </si>
  <si>
    <t>Изменение цен на весь ассортимент в среднем на 6%</t>
  </si>
  <si>
    <t>Введена новая модель Vetro18</t>
  </si>
  <si>
    <t>Введена новая модель Amelia 9</t>
  </si>
  <si>
    <t>Введена новая модель Sienna 9</t>
  </si>
  <si>
    <t>Provеnce design</t>
  </si>
  <si>
    <t>Provеnce</t>
  </si>
  <si>
    <t>Techno_Vetro</t>
  </si>
  <si>
    <t>Покрытия_artex</t>
  </si>
  <si>
    <t>Введены замки AGB</t>
  </si>
  <si>
    <t>Введены декоративные 3D панели в модели Vetro11/18</t>
  </si>
  <si>
    <t>редакция 1 от 01.11.2021</t>
  </si>
  <si>
    <t>% корректировки</t>
  </si>
  <si>
    <t>16 х 85 мм</t>
  </si>
  <si>
    <t>редакция 2 от 09.11.2021</t>
  </si>
  <si>
    <t>Изменение цен на короб барный на 20%, в связи с изменением базовой длины(было 2050 стало 2400 мм)</t>
  </si>
  <si>
    <t>Исправлены неточности</t>
  </si>
  <si>
    <t>Исправлена картинка К2760</t>
  </si>
  <si>
    <t>Снята модель Verona 6</t>
  </si>
  <si>
    <t>1. Брус коробочный барный используется только с петлей пружинной</t>
  </si>
  <si>
    <r>
      <t>Брус коробочный барный</t>
    </r>
    <r>
      <rPr>
        <b/>
        <vertAlign val="superscript"/>
        <sz val="11"/>
        <rFont val="Calibri"/>
        <family val="2"/>
        <charset val="204"/>
        <scheme val="minor"/>
      </rPr>
      <t>1</t>
    </r>
  </si>
  <si>
    <t>редакция 4 от 07.12.2021</t>
  </si>
  <si>
    <t>редакция 3 от 03.12.2021</t>
  </si>
  <si>
    <t>Добавлена 2 мм нержавеющая пластина</t>
  </si>
  <si>
    <t>Фурнитура /прочее</t>
  </si>
  <si>
    <t>редакция 5 от 08.12.2021</t>
  </si>
  <si>
    <t>Добавлена модель COSMO в коллекцию Enamel</t>
  </si>
  <si>
    <t>Enamеl</t>
  </si>
  <si>
    <t>Добавлены скрытые двери со склада</t>
  </si>
  <si>
    <t>Скрытая дверь СКЛАД</t>
  </si>
  <si>
    <t>Добавлены цены на патину на карнизе</t>
  </si>
  <si>
    <t>ПВХ</t>
  </si>
  <si>
    <t>Лакобель+4Al</t>
  </si>
  <si>
    <t>пузырчатая упаковка</t>
  </si>
  <si>
    <t>Дополнительная транспортировочная упаковка</t>
  </si>
  <si>
    <t>Рем.комплект</t>
  </si>
  <si>
    <t>Уплотнитель</t>
  </si>
  <si>
    <t>Информацию о сроках изготовления тех или иных моделей можно уточнить в ЛК Дилера https://teremdoor.ru/sotrudnichestvo/dileram/personal/</t>
  </si>
  <si>
    <t>(цены опт)</t>
  </si>
  <si>
    <t>по ясеню</t>
  </si>
  <si>
    <t>эмаль базовая</t>
  </si>
  <si>
    <t>по дубу</t>
  </si>
  <si>
    <t>эмаль (100г), 
отвердитель (75г), 
бутил(25г)</t>
  </si>
  <si>
    <t>характеристика</t>
  </si>
  <si>
    <t>жесткая упаковка (до 8 полотен)</t>
  </si>
  <si>
    <t>мягкая упаковка (за изделие)</t>
  </si>
  <si>
    <t>деревянный короб</t>
  </si>
  <si>
    <t>Стекло</t>
  </si>
  <si>
    <t>с врезкой под отверстие</t>
  </si>
  <si>
    <t>для Vetro11</t>
  </si>
  <si>
    <t>Добавлена модель Vetro19</t>
  </si>
  <si>
    <t>Прочее</t>
  </si>
  <si>
    <t>MSD 02</t>
  </si>
  <si>
    <t>УС 442 Ivб</t>
  </si>
  <si>
    <t>бежевый, холодно-бежевый, коричневый</t>
  </si>
  <si>
    <t>белый, серый, черный,
темно-коричневый</t>
  </si>
  <si>
    <t>прозрачный</t>
  </si>
  <si>
    <t>Д-10П/3</t>
  </si>
  <si>
    <t>морилка</t>
  </si>
  <si>
    <t>прайс 12.01.22</t>
  </si>
  <si>
    <t>Снижены цены на коллекции с префиксом DESIGN</t>
  </si>
  <si>
    <t>редакция 1 от 12.01.2022</t>
  </si>
  <si>
    <t>Скорректированы цены на прочие коллекции и отдельные погонажные изделия</t>
  </si>
  <si>
    <t>Введение нового раздела "Прочее"</t>
  </si>
  <si>
    <t>900, 
1000</t>
  </si>
  <si>
    <t>Общее изменение цен</t>
  </si>
  <si>
    <t>Добавлена коллекция Fusion Plain</t>
  </si>
  <si>
    <t>Fusion_Plain</t>
  </si>
  <si>
    <t>10 мм</t>
  </si>
  <si>
    <t>12, 16 мм</t>
  </si>
  <si>
    <t>25 мм</t>
  </si>
  <si>
    <t>Добавлены цены на щитовые плоские панели разных толщин</t>
  </si>
  <si>
    <t>редакция 1 от 14.02.2022</t>
  </si>
  <si>
    <t>прайс 14.02.22</t>
  </si>
  <si>
    <t>Прайс на складскую программу вынесен отдельно</t>
  </si>
  <si>
    <t>Пленка ARTEX Массив Гриджио выведена из ассортимента</t>
  </si>
  <si>
    <t>Добавлена цена на позицию DIVA с доводчиком в цвете Черный</t>
  </si>
  <si>
    <t>редакция 2 от 22.02.2022</t>
  </si>
  <si>
    <t>Cистемы INVISIBLE</t>
  </si>
  <si>
    <t>алюм</t>
  </si>
  <si>
    <t>декоры</t>
  </si>
  <si>
    <t>Дуб Имбирь*</t>
  </si>
  <si>
    <t xml:space="preserve">2.  Стыковочные элементы нижние (пьедесталы)
</t>
  </si>
  <si>
    <t>1. Алюминиевые короба</t>
  </si>
  <si>
    <t>Дополнительные наценки к прайсу от 14.02.2022</t>
  </si>
  <si>
    <t>Погонаж алюминиевый</t>
  </si>
  <si>
    <t>прайс 12.03.22</t>
  </si>
  <si>
    <t>редакция 1 от 12.03.2022</t>
  </si>
  <si>
    <t>Введены корректирующие коэф.</t>
  </si>
  <si>
    <t>скидки_наценки</t>
  </si>
  <si>
    <t>редакция 2 от 16.03.2022</t>
  </si>
  <si>
    <t>Исправлены цены на ручки-лодочки</t>
  </si>
  <si>
    <t>Исправлены ошибки</t>
  </si>
  <si>
    <t>Исправлены цены на алюм.кромки</t>
  </si>
  <si>
    <t xml:space="preserve">Добавлена цена на WL наличник </t>
  </si>
  <si>
    <t>Алюм.погонаж</t>
  </si>
  <si>
    <t>Исправлены цены на стекла в коллекции Classic</t>
  </si>
  <si>
    <t>Переформатированны наценки</t>
  </si>
  <si>
    <t xml:space="preserve">Classic </t>
  </si>
  <si>
    <t>Двери для объектов</t>
  </si>
  <si>
    <t>Двери для пищеблоков</t>
  </si>
  <si>
    <t>Звукоизоляционное наполнение</t>
  </si>
  <si>
    <t>цельнонаполненный МДФ</t>
  </si>
  <si>
    <t>цельнонаполненный брус сосны</t>
  </si>
  <si>
    <t>цельнонаполненный пенопласт</t>
  </si>
  <si>
    <t>стоимость = Vetro11+25%</t>
  </si>
  <si>
    <t xml:space="preserve">стоимость=выбранное полотно + 15% </t>
  </si>
  <si>
    <t>1. Двери для объектов изготавливаются только по эскизам</t>
  </si>
  <si>
    <t>Двери с повышенной огнестойкостью</t>
  </si>
  <si>
    <t xml:space="preserve">стоимость=выбранное полотно + 25% </t>
  </si>
  <si>
    <t xml:space="preserve">стоимость=выбранное полотно + 35% </t>
  </si>
  <si>
    <t>тип 30</t>
  </si>
  <si>
    <t>тип 45</t>
  </si>
  <si>
    <t>44 мм</t>
  </si>
  <si>
    <t>59 мм</t>
  </si>
  <si>
    <t>1 000 руб/ед (ОПТ)</t>
  </si>
  <si>
    <t>эскиз разрабатывается только после предоставления образца</t>
  </si>
  <si>
    <t>по периметру стекла - круглая багетная рамка;
стекло прозрачное 4 мм</t>
  </si>
  <si>
    <t>Врезка СКУД/ скрытых доводчиков</t>
  </si>
  <si>
    <t>стоимость =  цена соответствующего полотна</t>
  </si>
  <si>
    <t>2. Двери с повышенной толщиной исполняются только с притвором</t>
  </si>
  <si>
    <t>3.Сертификат на двери с повышенной огнестойкостью не предоставляется</t>
  </si>
  <si>
    <t>4. В связи с перебоями импортных материалов, возможность изготовления двери с повышенной огнестойкостью уточняйте у регионального менеджера</t>
  </si>
  <si>
    <t xml:space="preserve">стоимость=выбранное полотно + 15%
</t>
  </si>
  <si>
    <t>стоимость=выбранное полотно + 35%</t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</si>
  <si>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120% </t>
    </r>
    <r>
      <rPr>
        <b/>
        <sz val="12"/>
        <color theme="1"/>
        <rFont val="Calibri"/>
        <family val="2"/>
        <charset val="204"/>
        <scheme val="minor"/>
      </rPr>
      <t>+
выбранный погонаж+50% + специальная фурнитура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замка)</t>
    </r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</si>
  <si>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70% </t>
    </r>
    <r>
      <rPr>
        <b/>
        <sz val="12"/>
        <color theme="1"/>
        <rFont val="Calibri"/>
        <family val="2"/>
        <charset val="204"/>
        <scheme val="minor"/>
      </rPr>
      <t xml:space="preserve">+
выбранный погонаж+10%  + специальная фурнитура </t>
    </r>
    <r>
      <rPr>
        <sz val="12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замка; Порог выпадающий Morelli)</t>
    </r>
  </si>
  <si>
    <t>редакция 3 от 25.03.2022</t>
  </si>
  <si>
    <t>Добавлен раздел "Двери для объектов"</t>
  </si>
  <si>
    <t>Двери для обьектов</t>
  </si>
  <si>
    <t>хром</t>
  </si>
  <si>
    <t>модель</t>
  </si>
  <si>
    <t xml:space="preserve">Coliseum6 </t>
  </si>
  <si>
    <t>Garda3</t>
  </si>
  <si>
    <t>Sienna ДГ</t>
  </si>
  <si>
    <t>Rosso7 ДГ</t>
  </si>
  <si>
    <t>Rosso8 ДГ</t>
  </si>
  <si>
    <t>грунт</t>
  </si>
  <si>
    <t>прайс 08.04.22</t>
  </si>
  <si>
    <t>Снижены цены на фурнитуру</t>
  </si>
  <si>
    <t>Снижена цена на полотна в покрытии грунт</t>
  </si>
  <si>
    <t>Добавлена позиция "Стабилизатор"</t>
  </si>
  <si>
    <t>Techno_Porte</t>
  </si>
  <si>
    <t>Palermo1</t>
  </si>
  <si>
    <t>Псевдофацет; Решетка; Римини; Сетка;  Милан; Парма; Ромбы с рисунком</t>
  </si>
  <si>
    <r>
      <t>Псевдофацет; Решетка; Римини; Сетка, Ромбы с рисунком</t>
    </r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; Вензель, Классика3</t>
    </r>
  </si>
  <si>
    <t>Решетка; Икс, R16; 1Ромбы с рисунком</t>
  </si>
  <si>
    <t>СМ0 (Прозрачное)</t>
  </si>
  <si>
    <t>СМ0 (Прозрачный)</t>
  </si>
  <si>
    <t>СМ1 (Матовый с одной стороны)</t>
  </si>
  <si>
    <t>СМ2 (Матовый с двух сторон)</t>
  </si>
  <si>
    <t>ДГО2</t>
  </si>
  <si>
    <t>ОПТ текущего прайса</t>
  </si>
  <si>
    <t>комплект</t>
  </si>
  <si>
    <t>э</t>
  </si>
  <si>
    <t>я</t>
  </si>
  <si>
    <t>комплект опт</t>
  </si>
  <si>
    <t>щитовая 
реечная</t>
  </si>
  <si>
    <t>прайс 16.05.22</t>
  </si>
  <si>
    <t>Снижены цены на основной модельный ряд</t>
  </si>
  <si>
    <t>Добавлен универсальный алюм короб</t>
  </si>
  <si>
    <t>Сняты с производства некоторые модели из коллекции Standart. Снятые моделимогут быть приняты по согласованию по прайс листу от 8 апреля 2022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</si>
  <si>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Standart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</si>
  <si>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Twist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</si>
  <si>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</t>
    </r>
  </si>
  <si>
    <t>Введена дополнительная наценка за покрытие "Орех"</t>
  </si>
  <si>
    <t>ясень/эмаль по RAL/NCS (до 1 кг)</t>
  </si>
  <si>
    <t>ЦА 39/59</t>
  </si>
  <si>
    <t>ЦА541</t>
  </si>
  <si>
    <t>Ширина 
полотна, 
мм</t>
  </si>
  <si>
    <t>Количество петель в комплекте</t>
  </si>
  <si>
    <t>Внешнее открывание out</t>
  </si>
  <si>
    <t>Внутреннее открывание  in</t>
  </si>
  <si>
    <t>Комплект:
полотно, коробка, скрытые петли, магнитная защелка morelli M1895 SC с ответной планкой</t>
  </si>
  <si>
    <t>Комплект с притвором: 
полотно с притвором, коробка, скрытые петли, магнитная защелка morelli M1895 SC с ответной планкой</t>
  </si>
  <si>
    <t>ГРУНТ</t>
  </si>
  <si>
    <t>400, 600, 
700, 800</t>
  </si>
  <si>
    <t>Полотно прямого открывания
Porte01
(грунт)</t>
  </si>
  <si>
    <t xml:space="preserve">Высота 
полотна, мм 
</t>
  </si>
  <si>
    <t>Универсальный 
алюминиевый короб  ЦА 59 (хром)</t>
  </si>
  <si>
    <t>Магнитная защелка morelli M1895 SC с ответной планкой (хром)</t>
  </si>
  <si>
    <t>Полотно обратного открывания
Porte01
(грунт)</t>
  </si>
  <si>
    <r>
      <t xml:space="preserve">1.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</si>
  <si>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t>Скрытые петли TECH U3D7000 (12060UN3D)
 (хром)</t>
  </si>
  <si>
    <t>Наценка за высоты</t>
  </si>
  <si>
    <t>Скрытые петли К6360
 (хром)</t>
  </si>
  <si>
    <t>Магнитный замок PUNTO с ответной планкой (хром)</t>
  </si>
  <si>
    <t>Комплект скрытой двери прямого открывания, 
цвет хром</t>
  </si>
  <si>
    <t>Комплект скрытой двери обратного открывания, 
цвет хром</t>
  </si>
  <si>
    <t xml:space="preserve">
L прямой</t>
  </si>
  <si>
    <t>2120 мм</t>
  </si>
  <si>
    <t>100 мм</t>
  </si>
  <si>
    <t>200 мм</t>
  </si>
  <si>
    <t>L (12мм)</t>
  </si>
  <si>
    <t>односторонний</t>
  </si>
  <si>
    <t>двусторонний</t>
  </si>
  <si>
    <t>одно-
сторонний</t>
  </si>
  <si>
    <t>дву-
сторонний</t>
  </si>
  <si>
    <t>прайс 15.08.22</t>
  </si>
  <si>
    <t>Внесены изменения в погонажные изделия (высоты, толщины)</t>
  </si>
  <si>
    <t>30 х 4 мм</t>
  </si>
  <si>
    <t>2150х86</t>
  </si>
  <si>
    <t>2150x45x16</t>
  </si>
  <si>
    <t>2150х1000</t>
  </si>
  <si>
    <t>2150х1300</t>
  </si>
  <si>
    <t>2150Х1000</t>
  </si>
  <si>
    <t>2150*1000</t>
  </si>
  <si>
    <t>Полотно прямого открывания
Porte01  с алюминиевой кромкой по периметру
(грунт)</t>
  </si>
  <si>
    <r>
      <t xml:space="preserve">2.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</si>
  <si>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r>
      <t xml:space="preserve">3.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</si>
  <si>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r>
      <t xml:space="preserve">4.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</si>
  <si>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t xml:space="preserve"> 600, 
700, 800</t>
  </si>
  <si>
    <t>Наценка на полотна за высоты</t>
  </si>
  <si>
    <t>Универсальный 
алюминиевый короб  ЦА 59 (черный)</t>
  </si>
  <si>
    <t>Скрытые петли К6360
 (черные)</t>
  </si>
  <si>
    <t>Магнитный замок PUNTO с ответной планкой (черный)</t>
  </si>
  <si>
    <t xml:space="preserve">900
</t>
  </si>
  <si>
    <t>600, 
700, 800</t>
  </si>
  <si>
    <t>Скрытые петли Armadilo (12060UN3D-SN)
 (хром)</t>
  </si>
  <si>
    <t>Скрытые петли Armadilo (12060UN3D-BL)
 (черный)</t>
  </si>
  <si>
    <t>Магнитная защелка morelli M1895 SC с ответной планкой (черный)</t>
  </si>
  <si>
    <t>Vetro 11</t>
  </si>
  <si>
    <t>Neoclassic</t>
  </si>
  <si>
    <t>Amelia ДГ</t>
  </si>
  <si>
    <t>Дизайнерские</t>
  </si>
  <si>
    <t>Vetro 18</t>
  </si>
  <si>
    <r>
      <t>Stripe1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</si>
  <si>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Stripe2</t>
    </r>
    <r>
      <rPr>
        <sz val="10"/>
        <color theme="1"/>
        <rFont val="Calibri"/>
        <family val="2"/>
        <charset val="204"/>
        <scheme val="minor"/>
      </rPr>
      <t/>
    </r>
  </si>
  <si>
    <r>
      <t>Stripe3</t>
    </r>
    <r>
      <rPr>
        <sz val="10"/>
        <color theme="1"/>
        <rFont val="Calibri"/>
        <family val="2"/>
        <charset val="204"/>
        <scheme val="minor"/>
      </rPr>
      <t/>
    </r>
  </si>
  <si>
    <r>
      <t>Stripe4</t>
    </r>
    <r>
      <rPr>
        <sz val="10"/>
        <color theme="1"/>
        <rFont val="Calibri"/>
        <family val="2"/>
        <charset val="204"/>
        <scheme val="minor"/>
      </rPr>
      <t/>
    </r>
  </si>
  <si>
    <t>Porte39-01</t>
  </si>
  <si>
    <t>Porte39-11</t>
  </si>
  <si>
    <r>
      <t>Porte39 -00
(Porte01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</si>
  <si>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обратное открывание</t>
  </si>
  <si>
    <t>Скорректированы цены на основной модельный ряд в части отдельных полотен</t>
  </si>
  <si>
    <t>Снижены цены на односторонние доборы</t>
  </si>
  <si>
    <t>Добавлен универсальный алюм короб для полотен с алюм кромкой</t>
  </si>
  <si>
    <t>Сняты с производства некоторые модели Bergamo2A, Elegance2A</t>
  </si>
  <si>
    <t>Добавлена коллекция Slot</t>
  </si>
  <si>
    <t>Добавлена серия Stripe</t>
  </si>
  <si>
    <t>Добавлена модель Step перенесена в коллекцию Designe</t>
  </si>
  <si>
    <t>Расширена линейка Porte</t>
  </si>
  <si>
    <t>Добавлены модели Wave и Spline</t>
  </si>
  <si>
    <t>прайс 26.09.22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</si>
  <si>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Slot</t>
    </r>
  </si>
  <si>
    <t xml:space="preserve">Лакобель (крашенное стекло Optiwhite) </t>
  </si>
  <si>
    <t>цвет кромки</t>
  </si>
  <si>
    <t>наценка к базовому коробу</t>
  </si>
  <si>
    <t>за погонный метр</t>
  </si>
  <si>
    <t>за шт (2м)</t>
  </si>
  <si>
    <t>RAL/NCS</t>
  </si>
  <si>
    <t>Переходник на Q погонаж</t>
  </si>
  <si>
    <t>22 х 100 мм</t>
  </si>
  <si>
    <t>Стык. планка МДФ (L)</t>
  </si>
  <si>
    <t>Патинирование багета 
 (с двух сторон)</t>
  </si>
  <si>
    <t>Багет "Britain" патинированный по крашеному ясеню (с 2-х сторон)</t>
  </si>
  <si>
    <t>Патинирование багета 
 (с 2х сторон)</t>
  </si>
  <si>
    <t xml:space="preserve">Винтаж </t>
  </si>
  <si>
    <r>
      <t xml:space="preserve">Патина </t>
    </r>
    <r>
      <rPr>
        <sz val="9"/>
        <rFont val="Calibri"/>
        <family val="2"/>
        <charset val="204"/>
        <scheme val="minor"/>
      </rPr>
      <t>золото</t>
    </r>
  </si>
  <si>
    <t>Добавлен Алюминиевый плинтус</t>
  </si>
  <si>
    <t>Добавлены новые наличники</t>
  </si>
  <si>
    <t>Снижены цену на патину</t>
  </si>
  <si>
    <t>Изменна система рассчетов на накладки для входной двери</t>
  </si>
  <si>
    <t>Скорректированы цены на Q наличники</t>
  </si>
  <si>
    <t xml:space="preserve">Алмазная гравировка
</t>
  </si>
  <si>
    <t>СМ1 
(Матовое с 1ой стороны)</t>
  </si>
  <si>
    <t>СМ2 
(Матовое с 2х сторон)</t>
  </si>
  <si>
    <t>ПРИМЕЧАНИЕ: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</si>
  <si>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Porte39/52-01/11 входит алюминиевая кромка хром с 4-х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</si>
  <si>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t>Горизонтальное направление шпона</t>
  </si>
  <si>
    <t>6. Исполнение полотен с отличными друг от друга сторонами</t>
  </si>
  <si>
    <t>для полотен из коллекций: Techno, Twist, Fusion</t>
  </si>
  <si>
    <t>для полотен из коллекций: Elegance</t>
  </si>
  <si>
    <t>для полотен из коллекций: Modern, Designe</t>
  </si>
  <si>
    <t>3. Направление шпона</t>
  </si>
  <si>
    <t>4. Исполнение полотен с отличными друг от друга сторонами</t>
  </si>
  <si>
    <t>Белое, 
Бронза, Серое</t>
  </si>
  <si>
    <t>˅</t>
  </si>
  <si>
    <t>1. Молдинг</t>
  </si>
  <si>
    <t>Молдинг 10 мм</t>
  </si>
  <si>
    <t>Молдинг 41 мм</t>
  </si>
  <si>
    <t>ХРОМ</t>
  </si>
  <si>
    <t>ЧЕРНЫЙ</t>
  </si>
  <si>
    <t>серия Wave</t>
  </si>
  <si>
    <t>Dino3/Rino3/Marko3</t>
  </si>
  <si>
    <r>
      <t>Rino1</t>
    </r>
    <r>
      <rPr>
        <sz val="10"/>
        <color theme="1"/>
        <rFont val="Calibri"/>
        <family val="2"/>
        <charset val="204"/>
        <scheme val="minor"/>
      </rPr>
      <t xml:space="preserve"> /</t>
    </r>
    <r>
      <rPr>
        <b/>
        <sz val="11"/>
        <color theme="1"/>
        <rFont val="Calibri"/>
        <family val="2"/>
        <charset val="204"/>
        <scheme val="minor"/>
      </rPr>
      <t>Marko1</t>
    </r>
  </si>
  <si>
    <t>Porte66-00</t>
  </si>
  <si>
    <t>универсальное открывание</t>
  </si>
  <si>
    <t>ДГО/ДГО2</t>
  </si>
  <si>
    <t>Amelia8/10/12</t>
  </si>
  <si>
    <t>глухое полотно</t>
  </si>
  <si>
    <t>полотно со стеклом без декора</t>
  </si>
  <si>
    <t>полотно с фацетным стеклом</t>
  </si>
  <si>
    <r>
      <t>Rosso8</t>
    </r>
    <r>
      <rPr>
        <sz val="10"/>
        <color theme="1"/>
        <rFont val="Calibri"/>
        <family val="2"/>
        <charset val="204"/>
        <scheme val="minor"/>
      </rPr>
      <t/>
    </r>
  </si>
  <si>
    <t>8 мм</t>
  </si>
  <si>
    <r>
      <rPr>
        <vertAlign val="superscript"/>
        <sz val="10"/>
        <rFont val="Calibri"/>
        <family val="2"/>
        <charset val="204"/>
        <scheme val="minor"/>
      </rPr>
      <t xml:space="preserve">1. </t>
    </r>
    <r>
      <rPr>
        <sz val="10"/>
        <rFont val="Calibri"/>
        <family val="2"/>
        <charset val="204"/>
        <scheme val="minor"/>
      </rPr>
      <t xml:space="preserve">Расширитель  также изготавливается следующих видов (стоимость как у типового L  расширителя): </t>
    </r>
  </si>
  <si>
    <t xml:space="preserve">Размер </t>
  </si>
  <si>
    <t>66 мм</t>
  </si>
  <si>
    <t>стоимость=выбранное полотно + 80%</t>
  </si>
  <si>
    <t>ед. измерения</t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</si>
  <si>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В стоимость моделей  Porte39/52-01 входит стабилизатор коробления для полотен от 2000 мм</t>
    </r>
  </si>
  <si>
    <t>Триплекс 4+4</t>
  </si>
  <si>
    <t>1 тип 
(категории 0; I)</t>
  </si>
  <si>
    <t>2 тип
(категория II; III)</t>
  </si>
  <si>
    <t>1. К моделям в покрытии "Эмаль брашированная" комплектуется погонаж в покрытии "Эмаль стандартная"</t>
  </si>
  <si>
    <t>Снижены цену на изделия в покрытии ПВХ</t>
  </si>
  <si>
    <t>Оптимизированы категории покрытий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</si>
  <si>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Neoclassic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</si>
  <si>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Сlassic Rosso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</si>
  <si>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Bergamo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</si>
  <si>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Turin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</si>
  <si>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Amelia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</si>
  <si>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Sienna</t>
    </r>
  </si>
  <si>
    <t>в базе 2Al</t>
  </si>
  <si>
    <t>прайс 10.10.22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</si>
  <si>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</t>
    </r>
  </si>
  <si>
    <t>Эмаль  Гриджио</t>
  </si>
  <si>
    <t>RAL-7045</t>
  </si>
  <si>
    <t>Эмаль  BRASH Гриджио</t>
  </si>
  <si>
    <t>Ясень  Гриджио</t>
  </si>
  <si>
    <t>52 мм</t>
  </si>
  <si>
    <t>стоимость=выбранное полотно + 25%</t>
  </si>
  <si>
    <t>Зеркало СЕРЕБРО</t>
  </si>
  <si>
    <t>редакция 1 от 10.10.2022</t>
  </si>
  <si>
    <t>редакция 2 от 21.10.2022</t>
  </si>
  <si>
    <t>Добавлены цены на зеркальные и стеклянные стеновые панели</t>
  </si>
  <si>
    <t>Добавлены цены на утолщенные полотна</t>
  </si>
  <si>
    <t>Porte52-00*</t>
  </si>
  <si>
    <t>Porte52-01*</t>
  </si>
  <si>
    <t>*только для алюм.коробов</t>
  </si>
  <si>
    <t>редакция 3 от 31.10.2023</t>
  </si>
  <si>
    <t>Изменен шаг М-добора</t>
  </si>
  <si>
    <t>серия
Bergamo</t>
  </si>
  <si>
    <t>серия 
Turin1 (Византия1)</t>
  </si>
  <si>
    <t>серия 
Elegance</t>
  </si>
  <si>
    <t>серия 
Fusion</t>
  </si>
  <si>
    <t>серия
жалюзи 1</t>
  </si>
  <si>
    <t>Slot10-01</t>
  </si>
  <si>
    <t>серия 
Fusion Plane</t>
  </si>
  <si>
    <t>серия 
Stripe</t>
  </si>
  <si>
    <t>серия 
Belluno</t>
  </si>
  <si>
    <t>Slot41-02 без алюм кромки</t>
  </si>
  <si>
    <t>Vetro11 /13/17
(Футуро1)</t>
  </si>
  <si>
    <t>серия Modena</t>
  </si>
  <si>
    <t>Coliseum6 / Venice6/ Arno</t>
  </si>
  <si>
    <t>Amelia с простым стеклом</t>
  </si>
  <si>
    <t xml:space="preserve">Sienna10/ X3 </t>
  </si>
  <si>
    <t>Sienna1</t>
  </si>
  <si>
    <t>Capriccio01 (Моцарт1); Spline</t>
  </si>
  <si>
    <t>Porte+фрезеровка+молдинг10</t>
  </si>
  <si>
    <t>Porte+фрезеровка+молдинг41</t>
  </si>
  <si>
    <t>Porte+фрезеровка</t>
  </si>
  <si>
    <t>Fusion Plain+работа</t>
  </si>
  <si>
    <t>Porte+фрезеровка+вставка</t>
  </si>
  <si>
    <t>Vetro12 /14</t>
  </si>
  <si>
    <t>Porte+мдф+фрезеровка</t>
  </si>
  <si>
    <t>Union Slot</t>
  </si>
  <si>
    <t>Union+молдинг</t>
  </si>
  <si>
    <t>Union</t>
  </si>
  <si>
    <t>Union+фрезеровка+ламели</t>
  </si>
  <si>
    <t>дешевле гарды на</t>
  </si>
  <si>
    <t>Страда01+триплекс</t>
  </si>
  <si>
    <t xml:space="preserve">Страда11+наценка </t>
  </si>
  <si>
    <t>гарда2+наценка</t>
  </si>
  <si>
    <t>Rosso7 + фацет</t>
  </si>
  <si>
    <t>Rosso8 + фацет</t>
  </si>
  <si>
    <t>Ясень</t>
  </si>
  <si>
    <t>Дуб</t>
  </si>
  <si>
    <t>Орех, Brash</t>
  </si>
  <si>
    <t>серия 
Capriccio</t>
  </si>
  <si>
    <t>серия 
Garda</t>
  </si>
  <si>
    <t>Eclectica</t>
  </si>
  <si>
    <t xml:space="preserve"> ДУБ</t>
  </si>
  <si>
    <t>ДУБ</t>
  </si>
  <si>
    <t xml:space="preserve"> ДУБ
</t>
  </si>
  <si>
    <t xml:space="preserve">ДУБ
</t>
  </si>
  <si>
    <t xml:space="preserve">      Двери с повышенной толщиной</t>
  </si>
  <si>
    <t xml:space="preserve">Ясень </t>
  </si>
  <si>
    <t>ОРЕХ</t>
  </si>
  <si>
    <t xml:space="preserve"> ОРЕХ</t>
  </si>
  <si>
    <t>ОРЕХ (2)</t>
  </si>
  <si>
    <t>по цене
L</t>
  </si>
  <si>
    <t xml:space="preserve"> Lacio </t>
  </si>
  <si>
    <t>16*110*2400</t>
  </si>
  <si>
    <t xml:space="preserve">Komo </t>
  </si>
  <si>
    <t>16*90*2400</t>
  </si>
  <si>
    <t xml:space="preserve">Etna </t>
  </si>
  <si>
    <t>16*85*2400</t>
  </si>
  <si>
    <t xml:space="preserve">  Доплаты</t>
  </si>
  <si>
    <t xml:space="preserve">  Патинирование 
   (с 2х сторон)</t>
  </si>
  <si>
    <t>L, Z, M</t>
  </si>
  <si>
    <t>нет в табл с нов цен</t>
  </si>
  <si>
    <t>10*110</t>
  </si>
  <si>
    <t>10*150</t>
  </si>
  <si>
    <t>Q
22*100</t>
  </si>
  <si>
    <t>по цене L200 (ПВХ прежние)</t>
  </si>
  <si>
    <t xml:space="preserve"> -</t>
  </si>
  <si>
    <t>по цене L добора 200</t>
  </si>
  <si>
    <t>Кomo</t>
  </si>
  <si>
    <t>16*90 мм</t>
  </si>
  <si>
    <t xml:space="preserve"> - </t>
  </si>
  <si>
    <t>16*85 мм</t>
  </si>
  <si>
    <t>Lacio</t>
  </si>
  <si>
    <t>16*110 мм</t>
  </si>
  <si>
    <t xml:space="preserve">LL </t>
  </si>
  <si>
    <t>Etna</t>
  </si>
  <si>
    <t xml:space="preserve"> Дуб</t>
  </si>
  <si>
    <t>Орех</t>
  </si>
  <si>
    <t xml:space="preserve">берем цену за 100 мм высчитывем за 10 </t>
  </si>
  <si>
    <t>размеры стекол на модели</t>
  </si>
  <si>
    <t>на одну сторону</t>
  </si>
  <si>
    <t>лакобель (оптивайт) с 1-ой стороны</t>
  </si>
  <si>
    <t>зеркало с 1-ой стороны</t>
  </si>
  <si>
    <t>триплекс с 2-х сторон</t>
  </si>
  <si>
    <t>ширина, м</t>
  </si>
  <si>
    <t>высота, м</t>
  </si>
  <si>
    <r>
      <t>S,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</si>
  <si>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Р, м</t>
    </r>
    <r>
      <rPr>
        <sz val="11"/>
        <color theme="1"/>
        <rFont val="Calibri"/>
        <family val="2"/>
        <charset val="204"/>
        <scheme val="minor"/>
      </rPr>
      <t/>
    </r>
  </si>
  <si>
    <t>серебро</t>
  </si>
  <si>
    <t>бронза/ графит</t>
  </si>
  <si>
    <t>ярко белый</t>
  </si>
  <si>
    <t>цена за две стороны</t>
  </si>
  <si>
    <t>Porte</t>
  </si>
  <si>
    <t>Vetro 14</t>
  </si>
  <si>
    <t>Vetro 12</t>
  </si>
  <si>
    <t>Vetro 13</t>
  </si>
  <si>
    <t>Страда11</t>
  </si>
  <si>
    <t>Варио11+триплекс</t>
  </si>
  <si>
    <t>Страда14</t>
  </si>
  <si>
    <t>Страда15</t>
  </si>
  <si>
    <t>1-офиленчатые</t>
  </si>
  <si>
    <t>2-х филенчатые: зеркало в верхней филенке</t>
  </si>
  <si>
    <t>3-х филенчатые: стекло в верхней и средней филенке</t>
  </si>
  <si>
    <t>3-х филенчатые: стекло большое</t>
  </si>
  <si>
    <t>3-х филенчатые: стекло малое</t>
  </si>
  <si>
    <t>закуп</t>
  </si>
  <si>
    <t>опт (+25%)</t>
  </si>
  <si>
    <t>розница (+65%)</t>
  </si>
  <si>
    <t>вид</t>
  </si>
  <si>
    <t>ярко-белый</t>
  </si>
  <si>
    <t>Лакобель с 1-ой стороны</t>
  </si>
  <si>
    <t>доплата RAL/ NCS</t>
  </si>
  <si>
    <t>доплата RAL/ NCS (за перламутр)</t>
  </si>
  <si>
    <t>Vetro 11, 13</t>
  </si>
  <si>
    <t>Vetro 12, 14</t>
  </si>
  <si>
    <t>Зеркало (c 1-ой стороны)</t>
  </si>
  <si>
    <t>графит</t>
  </si>
  <si>
    <t>Классические модели</t>
  </si>
  <si>
    <t>Modena1</t>
  </si>
  <si>
    <t>Modena2</t>
  </si>
  <si>
    <t>riminni1</t>
  </si>
  <si>
    <t>riminni2</t>
  </si>
  <si>
    <t>п/м</t>
  </si>
  <si>
    <t>прозрачное</t>
  </si>
  <si>
    <t>СМ1+
алмазная гравировка</t>
  </si>
  <si>
    <t>СМ1+
рисунок по стеклу</t>
  </si>
  <si>
    <t>закалка</t>
  </si>
  <si>
    <t>бронза/
серое</t>
  </si>
  <si>
    <t>4мм</t>
  </si>
  <si>
    <t>4+4 мм</t>
  </si>
  <si>
    <t>2-х филенчатые: стекло в верхней филенке</t>
  </si>
  <si>
    <t>россо целая</t>
  </si>
  <si>
    <t>россо три четверти</t>
  </si>
  <si>
    <t>амелия целая</t>
  </si>
  <si>
    <t>включена в стоимость уже</t>
  </si>
  <si>
    <t>амелия половина</t>
  </si>
  <si>
    <t>вычесть из амелии 10</t>
  </si>
  <si>
    <t>амелия три четверти</t>
  </si>
  <si>
    <t>зеркало серебро</t>
  </si>
  <si>
    <t>по одной цене</t>
  </si>
  <si>
    <t>триплекс</t>
  </si>
  <si>
    <t>равны между собой</t>
  </si>
  <si>
    <t>бронза и серое</t>
  </si>
  <si>
    <t>другая цена, дороже</t>
  </si>
  <si>
    <t>БРОНЗА, ГРАФИТ</t>
  </si>
  <si>
    <t>доплата за RAL/NCS</t>
  </si>
  <si>
    <t>Ral/NCS</t>
  </si>
  <si>
    <t>Диагональное направление шпона</t>
  </si>
  <si>
    <t>Покрытия: Возможно исполнение по RAL и  NCS в категории "Эмаль" и "Ясень ".</t>
  </si>
  <si>
    <t>SPLINE</t>
  </si>
  <si>
    <t>т.к. за квадрат 450*450</t>
  </si>
  <si>
    <t>за 45*45</t>
  </si>
  <si>
    <t>1,2 категория</t>
  </si>
  <si>
    <t>Фрезерованные, шт 
(450х450мм)</t>
  </si>
  <si>
    <t>2AL</t>
  </si>
  <si>
    <t>3AL</t>
  </si>
  <si>
    <t>4AL</t>
  </si>
  <si>
    <t>3AL (с 3х сторон)</t>
  </si>
  <si>
    <t xml:space="preserve">фацет </t>
  </si>
  <si>
    <t>БРОНЗА, ГРФИТ</t>
  </si>
  <si>
    <t>4 мм (закаленое)</t>
  </si>
  <si>
    <r>
      <t>4 мм</t>
    </r>
    <r>
      <rPr>
        <i/>
        <sz val="9"/>
        <rFont val="Calibri"/>
        <family val="2"/>
        <charset val="204"/>
        <scheme val="minor"/>
      </rPr>
      <t xml:space="preserve"> (закаленное)</t>
    </r>
  </si>
  <si>
    <t>бронза, серое</t>
  </si>
  <si>
    <r>
      <t>на полотнах</t>
    </r>
    <r>
      <rPr>
        <i/>
        <sz val="9"/>
        <rFont val="Calibri"/>
        <family val="2"/>
        <charset val="204"/>
        <scheme val="minor"/>
      </rPr>
      <t xml:space="preserve"> (не зависимо от вида покрытия)</t>
    </r>
  </si>
  <si>
    <t>Патина ВИНТАЖ
(только по эмали)</t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</si>
  <si>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броназ)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(по ясеню и коллекции в эмали
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</si>
  <si>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бронза)</t>
    </r>
    <r>
      <rPr>
        <b/>
        <sz val="9"/>
        <rFont val="Calibri"/>
        <family val="2"/>
        <charset val="204"/>
        <scheme val="minor"/>
      </rPr>
      <t xml:space="preserve">
</t>
    </r>
  </si>
  <si>
    <t>Убираем СМ2 везде</t>
  </si>
  <si>
    <t>если нужно, то наценка 1500 руб</t>
  </si>
  <si>
    <t>стекла с фацетом СМ1 равно цене прозрачного стекла с фацетом</t>
  </si>
  <si>
    <t>СМ1* (Матовый с одной стороны)</t>
  </si>
  <si>
    <t>для стекол с фацетом:</t>
  </si>
  <si>
    <t>рисунок по стеклу</t>
  </si>
  <si>
    <t>гравировка+стразы</t>
  </si>
  <si>
    <t>привелегия</t>
  </si>
  <si>
    <t>Зеркало БРОНЗА, ГРАФИТ, Стекло ЛАКОБЕЛЬ (базовое)</t>
  </si>
  <si>
    <t>Плоская з зеркалом</t>
  </si>
  <si>
    <t>PORTE с зеркалом</t>
  </si>
  <si>
    <t>Modern</t>
  </si>
  <si>
    <t>Twist/Porte+работа</t>
  </si>
  <si>
    <t xml:space="preserve"> Wave, без ал кромки</t>
  </si>
  <si>
    <t>к Гарде</t>
  </si>
  <si>
    <t>L 
прямой/Z 75*10</t>
  </si>
  <si>
    <t>проверить ссылки</t>
  </si>
  <si>
    <t>брус под перегородки</t>
  </si>
  <si>
    <t>под пенал/</t>
  </si>
  <si>
    <t>58*56</t>
  </si>
  <si>
    <t>2120x45x16</t>
  </si>
  <si>
    <t>Стык.элемент на обрат стор для станд портала</t>
  </si>
  <si>
    <t>Облицовочная 
планка 
для подвесной
системы 
крепления и пеналов</t>
  </si>
  <si>
    <t xml:space="preserve">   Брашированная</t>
  </si>
  <si>
    <t xml:space="preserve">   ОРЕХ</t>
  </si>
  <si>
    <t>450-950, 1000</t>
  </si>
  <si>
    <t>*** Все наценки складываются и прибавляются к базовой цене</t>
  </si>
  <si>
    <t xml:space="preserve"> + % к модели с более высокой ценой</t>
  </si>
  <si>
    <t>Варианты не стандартного исполения</t>
  </si>
  <si>
    <t>прайс 30.01.23</t>
  </si>
  <si>
    <t>Eclectica_Beluno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</si>
  <si>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</si>
  <si>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r>
      <rPr>
        <vertAlign val="superscript"/>
        <sz val="10"/>
        <rFont val="Calibri"/>
        <family val="2"/>
        <charset val="204"/>
        <scheme val="minor"/>
      </rPr>
      <t>1.</t>
    </r>
    <r>
      <rPr>
        <sz val="10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</si>
  <si>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 xml:space="preserve">** В Rosso в исполнении ДО указана цена с  прозрачным с фацетом СМ0 </t>
  </si>
  <si>
    <t>*За матирование второй стороны для стекол с фацетом и стектол без декора применяется доплата +1500 руб. (СМ2 - матирование с двух сторон)</t>
  </si>
  <si>
    <r>
      <rPr>
        <vertAlign val="superscript"/>
        <sz val="10"/>
        <rFont val="Calibri"/>
        <family val="2"/>
        <charset val="204"/>
        <scheme val="minor"/>
      </rPr>
      <t>2</t>
    </r>
    <r>
      <rPr>
        <sz val="10"/>
        <rFont val="Calibri"/>
        <family val="2"/>
        <charset val="204"/>
        <scheme val="minor"/>
      </rPr>
      <t>. Односторонний расширитель  может быть изготовлен шириной до 1000 мм с кратностью 100 мм. Для расчета цены используется стоимость расширителя 100 мм с поправкой на кратность</t>
    </r>
  </si>
  <si>
    <t xml:space="preserve">Изменена логика ценообразования на перегородки Corsa/Race, Grazia - расчет исходя из стоимости за кв.м. </t>
  </si>
  <si>
    <t>Перегородки Corsa/Race</t>
  </si>
  <si>
    <t>Оптимизированы категории покрытий в натуральном шпоне: Ясень, Дуб, Орех. (объединены покрытия шпон базовый и авторский в единую категорию -Дуб)</t>
  </si>
  <si>
    <t>цена (ОПТ)</t>
  </si>
  <si>
    <t>цена (РРЦ)</t>
  </si>
  <si>
    <t>доплата за RAL/NCS, особые группы</t>
  </si>
  <si>
    <t>у Vetro18</t>
  </si>
  <si>
    <t xml:space="preserve">**При шаге 10 мм наценка 70% к базовой цене полотна в наиболее близком размере </t>
  </si>
  <si>
    <t>**Возможный шаг - 50 мм</t>
  </si>
  <si>
    <t>Высота короба, наличников, притворных планок, расширителя, мм</t>
  </si>
  <si>
    <t xml:space="preserve">Лакобель (крашенное стекло Optiwhite)  </t>
  </si>
  <si>
    <t>оптивайт. Лакобель за 1 сторону</t>
  </si>
  <si>
    <t>оптивайт. Лакобель за 2 стороны</t>
  </si>
  <si>
    <t>39 с притвором</t>
  </si>
  <si>
    <t>Наценки в зависимости от толщины полотна</t>
  </si>
  <si>
    <t>стоимость=выбранное полотно + 10%</t>
  </si>
  <si>
    <t xml:space="preserve">до 1850
</t>
  </si>
  <si>
    <t>до 2000</t>
  </si>
  <si>
    <t>до 2100</t>
  </si>
  <si>
    <t>до 2200</t>
  </si>
  <si>
    <t>до 2300</t>
  </si>
  <si>
    <t>до 2400</t>
  </si>
  <si>
    <t>до 2500</t>
  </si>
  <si>
    <t>до 2600</t>
  </si>
  <si>
    <t>до 2700</t>
  </si>
  <si>
    <t>до 2800</t>
  </si>
  <si>
    <t>до 2900</t>
  </si>
  <si>
    <t>до 3000</t>
  </si>
  <si>
    <t>Тощина полотна</t>
  </si>
  <si>
    <t>Формула расчета</t>
  </si>
  <si>
    <t>ПРЯМ.СК (ПСК)/ОБР.СК (ОСК)</t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</si>
  <si>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>Используется для короба L , только в покрытии эмаль, не возможно применение с алюминиевой кромкой</t>
    </r>
  </si>
  <si>
    <r>
      <t xml:space="preserve">Только для алюминевый короба ОСК-1 и ОСК-2. 
</t>
    </r>
    <r>
      <rPr>
        <i/>
        <sz val="12"/>
        <color theme="1"/>
        <rFont val="Calibri"/>
        <family val="2"/>
        <charset val="204"/>
        <scheme val="minor"/>
      </rPr>
      <t>Ограничения по моделям для данного короба см. в тетради продавца часть 3</t>
    </r>
  </si>
  <si>
    <t xml:space="preserve"> + % к базовой цене погонажных изделий от 2400 мм</t>
  </si>
  <si>
    <t>Погонажные изделия в базовой высоте от 2400 мм/2700мм</t>
  </si>
  <si>
    <t xml:space="preserve">Размерный ряд: При заказе в покрытии шпон  или эмаль возможно исполнение 3000 мм. </t>
  </si>
  <si>
    <t>!!!!!В случае отличия и дизайна и покрытий - наценки складываются</t>
  </si>
  <si>
    <t>Изделия в покрытии "Ясень крашеный", "Эмаль"</t>
  </si>
  <si>
    <t>1 ИЗМЕНЕНИЯ ПОКРЫТИЙ И ЦВЕТОВ</t>
  </si>
  <si>
    <t xml:space="preserve">2 ИЗМЕНЕНИЕ МОДЕЛЕЙ ПОЛОТЕН </t>
  </si>
  <si>
    <t>2.3. При разных покрытиях дополнительно +15% к покрытию с более высокой ценой</t>
  </si>
  <si>
    <t>RAL/ NCS(2)</t>
  </si>
  <si>
    <t>RAL/NCS(2)</t>
  </si>
  <si>
    <r>
      <t>Slot 10-001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</si>
  <si>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Slot41-002
(Porte04)</t>
  </si>
  <si>
    <t>Slot 10-011/012</t>
  </si>
  <si>
    <r>
      <t>Slot 10-002/004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</si>
  <si>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 xml:space="preserve">                                        Вид декора</t>
  </si>
  <si>
    <r>
      <rPr>
        <vertAlign val="superscript"/>
        <sz val="11"/>
        <rFont val="Calibri"/>
        <family val="2"/>
        <charset val="204"/>
        <scheme val="minor"/>
      </rPr>
      <t>3.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</si>
  <si>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>Варианты исполнения</t>
  </si>
  <si>
    <t>Серия Linea</t>
  </si>
  <si>
    <t>Серия Capriccio</t>
  </si>
  <si>
    <t>Серия L-Union Slot</t>
  </si>
  <si>
    <t>Серия Podio</t>
  </si>
  <si>
    <t>Серия Twist</t>
  </si>
  <si>
    <t>Серия Lingo</t>
  </si>
  <si>
    <t>НАЦЕНКИ ЗА ГАБАРИТЫ</t>
  </si>
  <si>
    <t xml:space="preserve">  Стекло ЛАКОБЕЛЬ (ral/ncs) 
</t>
  </si>
  <si>
    <r>
      <t xml:space="preserve">  Стекло ЛАКОБЕЛЬ (ral/ncs (2)
</t>
    </r>
    <r>
      <rPr>
        <b/>
        <i/>
        <sz val="9"/>
        <rFont val="Calibri"/>
        <family val="2"/>
        <charset val="204"/>
        <scheme val="minor"/>
      </rPr>
      <t xml:space="preserve">  (перламутровые, люминисцентные, металлик )</t>
    </r>
  </si>
  <si>
    <r>
      <t xml:space="preserve">В коллекциях Neclassic  и Standart технически невозможно.
</t>
    </r>
    <r>
      <rPr>
        <i/>
        <sz val="12"/>
        <color theme="1"/>
        <rFont val="Calibri"/>
        <family val="2"/>
        <charset val="204"/>
        <scheme val="minor"/>
      </rPr>
      <t>Применяется только для деревянного короба RQ</t>
    </r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</si>
  <si>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 xml:space="preserve">Возможно для полотен в коробе ЦА (цельноалюминиевый) 39/59 (по складской программе) см. прайс по  складским позициям. </t>
    </r>
  </si>
  <si>
    <t>Матирование стекла с двух сторон (СМ2)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</si>
  <si>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</t>
    </r>
    <r>
      <rPr>
        <sz val="11"/>
        <color theme="1"/>
        <rFont val="Calibri"/>
        <family val="2"/>
        <charset val="204"/>
        <scheme val="minor"/>
      </rPr>
      <t xml:space="preserve">Slot 10-002/ 004, </t>
    </r>
    <r>
      <rPr>
        <sz val="11"/>
        <rFont val="Calibri"/>
        <family val="2"/>
        <charset val="204"/>
        <scheme val="minor"/>
      </rPr>
      <t>Slot 41-002 входит алюминиевая кромка хром с 2-х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</si>
  <si>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Модель Slot 10-001/011/012 могут быть изготовлены как с кромкой, так и без нее, в базу алюминиевая кромка не входит.</t>
    </r>
  </si>
  <si>
    <t>Ясень молочно-белый</t>
  </si>
  <si>
    <t>светлый дуб, марракеш, мускат, американский орех</t>
  </si>
  <si>
    <t>Дуб Песочный, Дуб Имбирь, Дуб Кварц, Дуб Нефрит</t>
  </si>
  <si>
    <t>Ясень крашеный (9)</t>
  </si>
  <si>
    <t>ДУБ (9)</t>
  </si>
  <si>
    <t>зеркало с одной стороны + 
кромка 4Al</t>
  </si>
  <si>
    <t>зеркало с двух сторон + кромка 4Al</t>
  </si>
  <si>
    <t>зеркало с одной стороны 
+ кромка 4Al</t>
  </si>
  <si>
    <t>Покрытия_шпон_эмаль</t>
  </si>
  <si>
    <t>Скорректированы покрытия</t>
  </si>
  <si>
    <t>Покрытия ПВХ</t>
  </si>
  <si>
    <t>Выведено из шпона покрытие "Опал"</t>
  </si>
  <si>
    <t>Добавлены новые наличники Lacio, Komo, Etna в погонаж  L</t>
  </si>
  <si>
    <t xml:space="preserve">Добавлена в коллекцию Eclectica новая серия дверей Beluno </t>
  </si>
  <si>
    <t>В модели Porte введено новое направление шпона - диагональное (варинаты декорирования - направление шпона)</t>
  </si>
  <si>
    <t>E-Design</t>
  </si>
  <si>
    <t>В серию Podio введена новая модель - Podio03</t>
  </si>
  <si>
    <t>Введена серия L-Union Slot в коллекцию Design</t>
  </si>
  <si>
    <t>Наценки за габариты</t>
  </si>
  <si>
    <t>Покрытие ARTEX применяется только для коллекций: Techno_Porte, Techno Vetro, Techno Slot и в погонаже для данных коллекций, а также для реек и плоских стеновыех панелях. Из остальных коллекций данное покрытие выводится</t>
  </si>
  <si>
    <t>Для полотен, что  комплектются алюминиевой кромкой с 2-х сторон в базе, рядом с наименованием модели указано +2Al  
Для полотен, что комплектются алюминиевой кромкой с 4-х сторон в базе, рядом с наименованием модели указано +4Al</t>
  </si>
  <si>
    <t>Исполнение полотен с отличными друг от друга сторонами  вынесено в отдельную вкладку "Прочие наценки"</t>
  </si>
  <si>
    <t>Внутреннее перераспредление цен на полотна и погонажные изделия</t>
  </si>
  <si>
    <t xml:space="preserve">Вкладка "Наценки" разделена на 2 вкладки: "Наценки за габариты" и "Прочие наценки" </t>
  </si>
  <si>
    <t>Прочие наценки</t>
  </si>
  <si>
    <t>Коллекция Design разнесена на 2 вкладки:  Design и - E-Design (эмаль)</t>
  </si>
  <si>
    <t>Полотна в ПВХ в базе комплектуются Т-молдингом, доплата за молдинг  не требуется</t>
  </si>
  <si>
    <r>
      <t>AmeliaArc1*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</si>
  <si>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**За матирование второй стороны для стекол с фацетом и стектол без декора применяется доплата +1500 руб. (СМ2 - матирование с двух сторон)</t>
  </si>
  <si>
    <t>СМ1** (Матовое с одной стороны)</t>
  </si>
  <si>
    <t>CМ0 прозрачн</t>
  </si>
  <si>
    <t>В серию Lingo добавлено покрытие - эмаль брашированная</t>
  </si>
  <si>
    <t>Rino2/Dino2</t>
  </si>
  <si>
    <t>к панели в выбранном покрытии</t>
  </si>
  <si>
    <t xml:space="preserve">Расшивка (МДФ) </t>
  </si>
  <si>
    <t xml:space="preserve">Шпонка декоративная </t>
  </si>
  <si>
    <t>12*25*2050мм</t>
  </si>
  <si>
    <t>6 (4)*45*2050мм</t>
  </si>
  <si>
    <t>Расшивка  МДФ (L)</t>
  </si>
  <si>
    <t>12*45*2050</t>
  </si>
  <si>
    <t>Шпонка декоративная МДФ 6(4) *45*2050</t>
  </si>
  <si>
    <t>новая</t>
  </si>
  <si>
    <t>5. В случае финишного покрытия стеновых панелей в шпоне или эмали с 2-х сторон (лицевая и оборотная + края) - наценка +70% к панели в выбранном покрытии</t>
  </si>
  <si>
    <t xml:space="preserve"> кромка 2Al </t>
  </si>
  <si>
    <t xml:space="preserve">кромка 2AL </t>
  </si>
  <si>
    <t>кромка 2AL</t>
  </si>
  <si>
    <t xml:space="preserve">серия Mezzo </t>
  </si>
  <si>
    <t>*** На модели Amelia могут устанавливаться только распашная система и поворотная, для откатных систем модель Grazia</t>
  </si>
  <si>
    <t>В расширителе М представлена цена за 10 мм.</t>
  </si>
  <si>
    <t>"Стыковочная планка (МДФ)"- переименована в "Расшивка - (МДФ)"</t>
  </si>
  <si>
    <t xml:space="preserve">В раздел "стеновые панели" введена новая номенклатура - "шпонка декоративная" </t>
  </si>
  <si>
    <t>Окрашивание изделий по RAL/NCS разделено на две группы с разной наценкой: 
1) RAL/NCS 
2) RAL/ NCS (2) (перламутровые, люминисцентные, металлик)</t>
  </si>
  <si>
    <t>ЗОЛОТО,  ВИНТАЖ</t>
  </si>
  <si>
    <r>
      <rPr>
        <b/>
        <sz val="9"/>
        <rFont val="Calibri"/>
        <family val="2"/>
        <charset val="204"/>
        <scheme val="minor"/>
      </rPr>
      <t>Патина</t>
    </r>
    <r>
      <rPr>
        <sz val="9"/>
        <rFont val="Calibri"/>
        <family val="2"/>
        <charset val="204"/>
        <scheme val="minor"/>
      </rPr>
      <t xml:space="preserve"> (золото, бронза серебро, 
</t>
    </r>
    <r>
      <rPr>
        <b/>
        <sz val="9"/>
        <rFont val="Calibri"/>
        <family val="2"/>
        <charset val="204"/>
        <scheme val="minor"/>
      </rPr>
      <t>ВИНТАЖ )</t>
    </r>
  </si>
  <si>
    <t>Золото,  ВИНТАЖ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</si>
  <si>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E-Сlassiс</t>
    </r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</si>
  <si>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Сlassic Rimini</t>
    </r>
  </si>
  <si>
    <t>серия Podio
(01/ 02/ 03)</t>
  </si>
  <si>
    <t>Серия Step</t>
  </si>
  <si>
    <t>Серия Mezzo</t>
  </si>
  <si>
    <t>Колонна</t>
  </si>
  <si>
    <t xml:space="preserve"> 
В случае финишного покрытия стеновых панелей в шпоне или эмали с 2-х сторон (лицевая и оборотная) </t>
  </si>
  <si>
    <t>Стеновые панели:</t>
  </si>
  <si>
    <t>к панели в выбранном покрытии и размере</t>
  </si>
  <si>
    <r>
      <t xml:space="preserve">Патина  (золото, серебро, бронза) 
</t>
    </r>
    <r>
      <rPr>
        <sz val="9"/>
        <color theme="1"/>
        <rFont val="Calibri"/>
        <family val="2"/>
        <charset val="204"/>
        <scheme val="minor"/>
      </rPr>
      <t xml:space="preserve">( для E-Classic, Provence )
</t>
    </r>
    <r>
      <rPr>
        <b/>
        <sz val="9"/>
        <color theme="1"/>
        <rFont val="Calibri"/>
        <family val="2"/>
        <charset val="204"/>
        <scheme val="minor"/>
      </rPr>
      <t>ВИНТАЖ (</t>
    </r>
    <r>
      <rPr>
        <sz val="9"/>
        <color theme="1"/>
        <rFont val="Calibri"/>
        <family val="2"/>
        <charset val="204"/>
        <scheme val="minor"/>
      </rPr>
      <t>для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Classic, Provence)</t>
    </r>
  </si>
  <si>
    <t>диагональное направление шпона для плоских панелей</t>
  </si>
  <si>
    <t>к выбранному покрытию/ цвету покрытия с более высокой ценой</t>
  </si>
  <si>
    <t xml:space="preserve">Выкрас разных сторон полотна в отличные друг от друга цвета при едином покрытии </t>
  </si>
  <si>
    <t>Скорректированы цены на перегородки Corsa/Race</t>
  </si>
  <si>
    <t>Перегородки Corsa</t>
  </si>
  <si>
    <t>Добавлена цена на WL наличник в эмали</t>
  </si>
  <si>
    <t>Редакция 1 от 01.02.23</t>
  </si>
  <si>
    <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 xml:space="preserve">Classic, E-Classic, Provence, Modern, Neoclassic, Fusion, Beluno
</t>
    </r>
    <r>
      <rPr>
        <sz val="11"/>
        <rFont val="Calibri"/>
        <family val="2"/>
        <charset val="204"/>
        <scheme val="minor"/>
      </rPr>
      <t>Современные -</t>
    </r>
    <r>
      <rPr>
        <i/>
        <sz val="11"/>
        <rFont val="Calibri"/>
        <family val="2"/>
        <charset val="204"/>
        <scheme val="minor"/>
      </rPr>
      <t xml:space="preserve"> Standart, Techno,Twist, Design</t>
    </r>
    <r>
      <rPr>
        <sz val="11"/>
        <rFont val="Calibri"/>
        <family val="2"/>
        <charset val="204"/>
        <scheme val="minor"/>
      </rPr>
      <t xml:space="preserve">
</t>
    </r>
  </si>
  <si>
    <t>Редакция 2 от 06.02.23</t>
  </si>
  <si>
    <t>В покрытия ПВХ возвращена коллекция Soft color</t>
  </si>
  <si>
    <t>полотна и погонаж</t>
  </si>
  <si>
    <t>в случае, если молдинг или кромку нужно покрасить в комплекте с петлями, наценка остается такой же за весь комплект</t>
  </si>
  <si>
    <t>Фурнитура, системы открывания вынесены в отдельный прайс-лист</t>
  </si>
  <si>
    <t>клипса для крепления</t>
  </si>
  <si>
    <t>Молдинги, кромка</t>
  </si>
  <si>
    <t>Расширитель Lacio</t>
  </si>
  <si>
    <t>2150 мм/2700мм (110)</t>
  </si>
  <si>
    <t>2700 мм</t>
  </si>
  <si>
    <t xml:space="preserve"> + % к базовой цене погонажных изделий от 2700 мм</t>
  </si>
  <si>
    <t>L=2700 мм/2400мм (ПВХ)</t>
  </si>
  <si>
    <t>L=2700 мм</t>
  </si>
  <si>
    <t>Редакция 3 от 10.03.23</t>
  </si>
  <si>
    <t>Добавлен новый разширитель Lacio</t>
  </si>
  <si>
    <t>Ассортимент</t>
  </si>
  <si>
    <t>Структура</t>
  </si>
  <si>
    <t xml:space="preserve">Прочее </t>
  </si>
  <si>
    <t xml:space="preserve">Изменены размеры погонажных изделий </t>
  </si>
  <si>
    <t>В связи с изменением размеров погонажных изделий обновлены пороги наценок на данные изделия</t>
  </si>
  <si>
    <t>3. Изделия в ПВХ изготавливаютмя размером: 2120мм, 2400мм и 2700мм</t>
  </si>
  <si>
    <t>*** Для погонажа и реек в базе 2400 и 2700 мм предусмотрена отдельная наценка</t>
  </si>
  <si>
    <t>* Высота наличника, притворной планки для полотен высотой до 2050 мм применяется -  2150/2120 мм. Соответственно</t>
  </si>
  <si>
    <t xml:space="preserve">***** Размерный ряд: </t>
  </si>
  <si>
    <t>**** Наличники высотой 3150 мм изготавливается по запросу</t>
  </si>
  <si>
    <t xml:space="preserve"> Размеры коробов: 2120мм, 2400мм, 2700мм, 3000мм. 
Размеры наличников: 2150мм, 2400мм, 2700мм, 3000мм (3150мм по запросу). 
Изделия в покрытии ПВХ – 2120мм, 2400мм, 2700мм.</t>
  </si>
  <si>
    <t xml:space="preserve">Короба: 2120мм, 2400мм, 2700мм, 3000мм. </t>
  </si>
  <si>
    <t xml:space="preserve">Наличники: 2150мм, 2400мм, 2700мм, 3000мм </t>
  </si>
  <si>
    <t>Для изделий в ПВХ (наличники, короба)  – 2120мм, 2400мм, 2700мм.</t>
  </si>
  <si>
    <r>
      <t>Belluno1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</si>
  <si>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Belluno2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</si>
  <si>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Belluno3/3b</t>
  </si>
  <si>
    <t>Belluno4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</si>
  <si>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Belluno</t>
    </r>
  </si>
  <si>
    <t>Slot 10-11/12 (10/02)</t>
  </si>
  <si>
    <t>Provence</t>
  </si>
  <si>
    <t>??? Эмаль больше чем ясень</t>
  </si>
  <si>
    <t xml:space="preserve">серия Palermo </t>
  </si>
  <si>
    <t>отклонение</t>
  </si>
  <si>
    <t>короб L/M 34*75*2120</t>
  </si>
  <si>
    <t>короб Q 34*75*2120</t>
  </si>
  <si>
    <t>короб RQ 34*75*2120</t>
  </si>
  <si>
    <t>Брус коробочный под монтаж пеналов  37*125*2400</t>
  </si>
  <si>
    <t>Брус коробочный под монтаж перегородок 58*56*2070</t>
  </si>
  <si>
    <t>Брус коробочный барный 52*75*2120</t>
  </si>
  <si>
    <t>наличник Z/ L10*75*2150</t>
  </si>
  <si>
    <t>наличникL10*90*2150</t>
  </si>
  <si>
    <t>наличник L16*75*2150</t>
  </si>
  <si>
    <t>наличник L16*90*2150</t>
  </si>
  <si>
    <t>наличник L16*110*2400</t>
  </si>
  <si>
    <t>наличник Q/RQ10*90*2150</t>
  </si>
  <si>
    <t>наличник Q10*110*2400</t>
  </si>
  <si>
    <t>наличник Q10*150*2750</t>
  </si>
  <si>
    <t>Облицовочная планка для пеналов/систем 10*120*2150</t>
  </si>
  <si>
    <t>Планка притворная 10*40*2120</t>
  </si>
  <si>
    <t>наличник Komo 16*90*2400</t>
  </si>
  <si>
    <t>наличник Etna 16*85*2400</t>
  </si>
  <si>
    <t>наличник WL 12*85*2400</t>
  </si>
  <si>
    <t>наличник M/ML 12*85*2400</t>
  </si>
  <si>
    <t>наличник Arno 16*110*2400</t>
  </si>
  <si>
    <t>наличник Step 23*110*2400</t>
  </si>
  <si>
    <t>наличник Lacio 16*110*2400</t>
  </si>
  <si>
    <t>наличник M110/Modern 23*110*2400</t>
  </si>
  <si>
    <t>Карниз Погонажный 28*1000*86</t>
  </si>
  <si>
    <t>Карниз Погонажный 28*1300*86</t>
  </si>
  <si>
    <t>Карниз Британия 42*1000*86</t>
  </si>
  <si>
    <t>Карниз Британия 42*1300*86</t>
  </si>
  <si>
    <t>Карниз Верона2 43*835-1035*120</t>
  </si>
  <si>
    <t>Карниз Верона1 43*835-1035*110</t>
  </si>
  <si>
    <t>Карниз Россо 28/41х600-900*236</t>
  </si>
  <si>
    <t>Карниз Стандартный 62*1000*85</t>
  </si>
  <si>
    <t>Колонна Стандартная 12*86*2120</t>
  </si>
  <si>
    <t>Карниз Стандартный 62*1300*85</t>
  </si>
  <si>
    <t>Стык.Элемент на оборотную сторону для Стандартного портала 16*45*2120</t>
  </si>
  <si>
    <t>Шашка Плоская 76*76*16(22)</t>
  </si>
  <si>
    <t>Шашка Плоская 86*86*16(22)</t>
  </si>
  <si>
    <t>Шашка Плоская 91*91*16(22)</t>
  </si>
  <si>
    <t>Шашка Плоская 112*112*16(22,32)</t>
  </si>
  <si>
    <t>Шашка Пирамида 76*76*16(22)</t>
  </si>
  <si>
    <t>Шашка Пирамида 86*86*16(22)</t>
  </si>
  <si>
    <t>Шашка Пирамида 91*91*16(22)</t>
  </si>
  <si>
    <t>Шашка Пирамида 112*112*16(22,32)</t>
  </si>
  <si>
    <t>Шашка Стандартная 76*76*16(22)</t>
  </si>
  <si>
    <t>Шашка Стандартная 86*86*16(22)</t>
  </si>
  <si>
    <t>Шашка Стандартная 91*91*16(22)</t>
  </si>
  <si>
    <t>Шашка Модена 112*112*16(22,32)</t>
  </si>
  <si>
    <t>Пьедестал Плоский 250*76х16(22)</t>
  </si>
  <si>
    <t>Пьедестал Плоский 250*86х16(22)</t>
  </si>
  <si>
    <t>Пьедестал Плоский 250*91х16(22)</t>
  </si>
  <si>
    <t>Пьедестал Плоский 250*112х16(22)</t>
  </si>
  <si>
    <t>Пьедестал Пирамида 250*76х16(22)</t>
  </si>
  <si>
    <t>Пьедестал Пирамида 250*86х16(22)</t>
  </si>
  <si>
    <t>Пьедестал Пирамида 250*91х16(22)</t>
  </si>
  <si>
    <t>Пьедестал Пирамида 250*112х16(22)</t>
  </si>
  <si>
    <t>Пьедестал Стандартный 250*76х16(22)</t>
  </si>
  <si>
    <t>Пьедестал Стандартный 250*86х16(22)</t>
  </si>
  <si>
    <t>Пьедестал Стандартный 250*91х16(22)</t>
  </si>
  <si>
    <t>Пьедестал Модена 250*112*16(22,32)</t>
  </si>
  <si>
    <t>Расширитель L 12*100*2120</t>
  </si>
  <si>
    <t>Расширитель L 12*200</t>
  </si>
  <si>
    <t>Расширитель Q22*100</t>
  </si>
  <si>
    <t>Плинтус плоский75*2000</t>
  </si>
  <si>
    <t>Плинтус плоский90*2000</t>
  </si>
  <si>
    <t>Плинтус плоский110*2000</t>
  </si>
  <si>
    <t>Плинтус классический 75*2000</t>
  </si>
  <si>
    <t>Плинтус классический 90*2000</t>
  </si>
  <si>
    <t>Плинтус классический 110*2000</t>
  </si>
  <si>
    <t>Плинтус  Arno 16*110*2000</t>
  </si>
  <si>
    <t>Плинтус  Step 23*110*2000</t>
  </si>
  <si>
    <t>Плинтус  Modern 23*110*2000</t>
  </si>
  <si>
    <t>Накладка для скрытого плинтуса</t>
  </si>
  <si>
    <t>Рейка панельная 33*33*2700</t>
  </si>
  <si>
    <t>Рейка панельная 39*39*2700</t>
  </si>
  <si>
    <t>Рейка панельная 45*45*2700</t>
  </si>
  <si>
    <t>Рейка фоновая 33*10*2700</t>
  </si>
  <si>
    <t>Рейка фоновая 39*10*2700</t>
  </si>
  <si>
    <t>Рейка фоновая 45*102700</t>
  </si>
  <si>
    <t>Рейка для перегородок 50*100*2700</t>
  </si>
  <si>
    <t>Стыковочная планка (МДФ)</t>
  </si>
  <si>
    <t>Накладки на скрытый плинтус</t>
  </si>
  <si>
    <t>Тип 3</t>
  </si>
  <si>
    <t>Тип 4</t>
  </si>
  <si>
    <t>прайс 26.04.2023</t>
  </si>
  <si>
    <t>Ценообразование</t>
  </si>
  <si>
    <t xml:space="preserve">Общее изменение цен </t>
  </si>
  <si>
    <t>Добавлены накладки на скрытый плинтус</t>
  </si>
  <si>
    <t>накладка для скрытого плинутса Тип3</t>
  </si>
  <si>
    <t>накладка для скрытого плинутса Тип4</t>
  </si>
  <si>
    <r>
      <t>Plainе1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</si>
  <si>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Plainе2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</si>
  <si>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Plainе3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</si>
  <si>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Plainе4</t>
    </r>
    <r>
      <rPr>
        <sz val="10"/>
        <color theme="1"/>
        <rFont val="Calibri"/>
        <family val="2"/>
        <charset val="204"/>
        <scheme val="minor"/>
      </rPr>
      <t/>
    </r>
  </si>
  <si>
    <t>1.Наценка за исполнение по RAL и  NCS (кроме перламутровых, люминисцентных, металлик) +20% к соответствующему покрытию.</t>
  </si>
  <si>
    <t>Выкрас по RAL и NCS (кроме перламутровых, люминисцентных, металик)</t>
  </si>
  <si>
    <t>к шпону дуба (опция действует только для покрытия - дуб)</t>
  </si>
  <si>
    <t>2.2. При едином покрытии в рамках изменения существующего модельного ряда +25% только по согласованию с технологами фабрики</t>
  </si>
  <si>
    <t>2.1. При едином покрытии в рамках существующего модельного ряда</t>
  </si>
  <si>
    <t>Окраска по RAL/ NCS (кроме перламутровых, люминисцентных, металлик)</t>
  </si>
  <si>
    <t xml:space="preserve"> 50 мм</t>
  </si>
  <si>
    <r>
      <t xml:space="preserve">Louver 1 
</t>
    </r>
    <r>
      <rPr>
        <b/>
        <sz val="11"/>
        <color theme="0" tint="-0.499984740745262"/>
        <rFont val="Calibri"/>
        <family val="2"/>
        <charset val="204"/>
        <scheme val="minor"/>
      </rPr>
      <t>(жалюзи 1)</t>
    </r>
  </si>
  <si>
    <r>
      <t xml:space="preserve">Louver 2 
</t>
    </r>
    <r>
      <rPr>
        <b/>
        <sz val="11"/>
        <color theme="0" tint="-0.499984740745262"/>
        <rFont val="Calibri"/>
        <family val="2"/>
        <charset val="204"/>
        <scheme val="minor"/>
      </rPr>
      <t>(жалюзи 2)</t>
    </r>
  </si>
  <si>
    <r>
      <t xml:space="preserve">Louver 3 
</t>
    </r>
    <r>
      <rPr>
        <b/>
        <sz val="11"/>
        <color theme="0" tint="-0.499984740745262"/>
        <rFont val="Calibri"/>
        <family val="2"/>
        <charset val="204"/>
        <scheme val="minor"/>
      </rPr>
      <t>(жалюзи 3)</t>
    </r>
  </si>
  <si>
    <t>Классические</t>
  </si>
  <si>
    <t>Неоклассические</t>
  </si>
  <si>
    <t>Современные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</si>
  <si>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 xml:space="preserve">E-Design </t>
    </r>
  </si>
  <si>
    <t>Содержание</t>
  </si>
  <si>
    <t>Изменена структура по межкомнатным дверям в рамках стилевых направлений</t>
  </si>
  <si>
    <t>Добавлены алюминиевые перегородки Meta</t>
  </si>
  <si>
    <t>Алюминиевые перегородки Meta</t>
  </si>
  <si>
    <t>Двери жалюзи переименованы в жалюзийные двери Louver</t>
  </si>
  <si>
    <t>Жалюзийные двери Louver</t>
  </si>
  <si>
    <t>Функциональные</t>
  </si>
  <si>
    <t>до 100%</t>
  </si>
  <si>
    <t>за шт (3м)</t>
  </si>
  <si>
    <t>в случае индивидуального подбора покрытия по требованию и дизайну заказчика, фабрика применяет наценку до 100% к изделию. Срок подбора покрытия и согласование образцов не входит в общий срок изготовления заказа</t>
  </si>
  <si>
    <t>прайс 09.06.2023</t>
  </si>
  <si>
    <t>Индивидуальный подбор покрытия</t>
  </si>
  <si>
    <t>Длина декоративной планки, мм</t>
  </si>
  <si>
    <t>поставщик</t>
  </si>
  <si>
    <t xml:space="preserve">   Ясень</t>
  </si>
  <si>
    <t>Вид остекления</t>
  </si>
  <si>
    <t>триплекс
4+4 мм</t>
  </si>
  <si>
    <r>
      <t>Corsa/</t>
    </r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Race</t>
    </r>
  </si>
  <si>
    <t>прайс 01.07.2023</t>
  </si>
  <si>
    <t>Цены</t>
  </si>
  <si>
    <t>Общая корректировка цен</t>
  </si>
  <si>
    <t>Добавлены новые стекла в перегородки</t>
  </si>
  <si>
    <t>Снята наценка за изменение направления шпона (кроме диагональной)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</si>
  <si>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 Plainе</t>
    </r>
  </si>
  <si>
    <t>1. Шашка Пирамида в шпоне ясень не изготавливается</t>
  </si>
  <si>
    <t>Изненение цены на Florence 4 в покрытиях дуб и орех</t>
  </si>
  <si>
    <t>прайс от 20.07.2023</t>
  </si>
  <si>
    <t>56х58</t>
  </si>
  <si>
    <t>СМ1 (Матовое с одной стороны цена к прозрачному</t>
  </si>
  <si>
    <t>и для сиенны</t>
  </si>
  <si>
    <t>Коллекция Provence Sienna</t>
  </si>
  <si>
    <t xml:space="preserve">Выведено прозрачное стекло из коллкции Sienna </t>
  </si>
  <si>
    <t>Belluno3</t>
  </si>
  <si>
    <t>Frame</t>
  </si>
  <si>
    <t>Алюминиевая</t>
  </si>
  <si>
    <t>за кв.м по Meta</t>
  </si>
  <si>
    <t>Алюминиевые двери Frame</t>
  </si>
  <si>
    <t>Анодированный профиль
(Черный)</t>
  </si>
  <si>
    <t>Алюминиевый короб</t>
  </si>
  <si>
    <t>Замок с ответной планкой</t>
  </si>
  <si>
    <t>1.Короб</t>
  </si>
  <si>
    <t>2.Фурнитура</t>
  </si>
  <si>
    <t>Ручка</t>
  </si>
  <si>
    <t xml:space="preserve">Cкрытые петли </t>
  </si>
  <si>
    <t>Прайс-лист "Фурнитура Терем", 
вкладки: "Ручки_накладки Италия/Китай"</t>
  </si>
  <si>
    <t>Прайс-лист "Фурнитура Терем", 
вкладка: "Замки"</t>
  </si>
  <si>
    <t>Прайс-лист "Фурнитура Терем", 
вкладка: "Скрытые петли"</t>
  </si>
  <si>
    <t>цена полотна за кв.м., руб.</t>
  </si>
  <si>
    <t>Введены алюминиевые двери Frame</t>
  </si>
  <si>
    <t>прайс от 02.08.2023</t>
  </si>
  <si>
    <t>орех</t>
  </si>
  <si>
    <t>Общее изменение цен на полотна и погонажные изделия</t>
  </si>
  <si>
    <t>Латунный T-молдинг</t>
  </si>
  <si>
    <t>Размер</t>
  </si>
  <si>
    <t>1. Молдинг для стеновых панелей</t>
  </si>
  <si>
    <t>20х2700 мм</t>
  </si>
  <si>
    <t>Цена, руб.</t>
  </si>
  <si>
    <t>Изделия для дополнительной комплектации заказа</t>
  </si>
  <si>
    <t>заказывается штучно, приобретается при необходимости</t>
  </si>
  <si>
    <t>Зеркало сатинат (c 1-ой стороны)</t>
  </si>
  <si>
    <t>зеркало САТИНАТ с 1-ой стороны</t>
  </si>
  <si>
    <t>классическое зеркало</t>
  </si>
  <si>
    <t>ГРАФИТ САТИН</t>
  </si>
  <si>
    <t>Введен лантунный Т-молдинг для стеновых панелей</t>
  </si>
  <si>
    <t>Коллекция Techno Porte</t>
  </si>
  <si>
    <t>прайс от 28.08.2023</t>
  </si>
  <si>
    <t>Коллекция Techno Vetro</t>
  </si>
  <si>
    <t>50*100*2700</t>
  </si>
  <si>
    <t>Введено зеркало сатин (серебро, бронза, графит) для коллекции Techno</t>
  </si>
  <si>
    <t>Алюминиевый погонаж</t>
  </si>
  <si>
    <t>Скорректирован размер у рейки для перегородок</t>
  </si>
  <si>
    <t>В алюминиевом погонаже введены новые цвета: золото, бронза для короба и кромок</t>
  </si>
  <si>
    <t>Матовое зеркало (с одной стороны)</t>
  </si>
  <si>
    <r>
      <t xml:space="preserve">Погонажный
</t>
    </r>
    <r>
      <rPr>
        <b/>
        <sz val="7"/>
        <color theme="1"/>
        <rFont val="Calibri"/>
        <family val="2"/>
        <charset val="204"/>
        <scheme val="minor"/>
      </rPr>
      <t>(с WL-наличником)</t>
    </r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</si>
  <si>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 xml:space="preserve">1
</t>
    </r>
    <r>
      <rPr>
        <b/>
        <vertAlign val="superscript"/>
        <sz val="8"/>
        <color theme="1"/>
        <rFont val="Calibri"/>
        <family val="2"/>
        <charset val="204"/>
        <scheme val="minor"/>
      </rPr>
      <t>(с WL-наличником)</t>
    </r>
  </si>
  <si>
    <t>ДУБ (масло)</t>
  </si>
  <si>
    <t xml:space="preserve">ШПОН </t>
  </si>
  <si>
    <t>Дуб МАСЛО (на 10% выше дуба сделать)</t>
  </si>
  <si>
    <t xml:space="preserve">Для исключения коробления установка стабилизатора является обязательной опцией в следующих случаях:        </t>
  </si>
  <si>
    <t>3 ДЛЯ ИСКЛЮЧЕНИЯ КОРАБЛЕНИЯ</t>
  </si>
  <si>
    <t xml:space="preserve">3.1.  для полотен свыше 2300мм        </t>
  </si>
  <si>
    <t xml:space="preserve">3.2. для двусторонних дверных полотен, изготовленных с применением разных видов материалов вне зависимости от высоты полотна (эмаль/шпон, эмаль/ПВХ, ПВХ/шпон, стекло/шпон, стекло/ПВХ, стекло/эмаль)        </t>
  </si>
  <si>
    <t>3.3. для двусторонних дверных полотен, изготовленных с применением разных моделей вне зависимости от высоты полотна (например, Porte 39-00 /Elegance 1,2,3; Bergamo1 / Elegance 1,2,3 и т.д)</t>
  </si>
  <si>
    <t>4 ПРОЧАЯ ПРОДУКЦИЯ</t>
  </si>
  <si>
    <t>к Porte</t>
  </si>
  <si>
    <t>РРЦ текущего прайса от 01.12.23</t>
  </si>
  <si>
    <t>12*25*2050 мм</t>
  </si>
  <si>
    <t>Торцевой элемент для фрезерованной стеновой панели 450*450</t>
  </si>
  <si>
    <t>3. Накладки шириной до 900 и высотой до 2100мм являются стандартными, и считаются без применения дополнительных наценок за ширину . За высоту свыше 2100мм применяется наценка +10%, для ширины свыше 900мм применяется наценка +5%. Наценки складываются, если высота и ширина накладки нестандартные.</t>
  </si>
  <si>
    <t>Расширитель</t>
  </si>
  <si>
    <t>латунь</t>
  </si>
  <si>
    <t>6. Возможно изготовление алюминиевого молдинга в цвета: золото, шампань, бронза, медь. Наценка 1000 руб. за единицу</t>
  </si>
  <si>
    <r>
      <t>Жалюзийные двери</t>
    </r>
    <r>
      <rPr>
        <b/>
        <sz val="20"/>
        <rFont val="Calibri"/>
        <family val="2"/>
        <charset val="204"/>
      </rPr>
      <t xml:space="preserve"> Louver</t>
    </r>
  </si>
  <si>
    <t xml:space="preserve"> 3.4. устанавливается розничная цена на комплект стабилизаторов на 1 полотно в размере 2000 р. Стоимость стабилизатора в случае установки в качестве необязательной опции (по желанию клиента) составляет 3 000р.</t>
  </si>
  <si>
    <t>масло</t>
  </si>
  <si>
    <t>Дуб Кофе</t>
  </si>
  <si>
    <t>Дуб Шоколад</t>
  </si>
  <si>
    <t>Дуб Янтарь</t>
  </si>
  <si>
    <t>ДУБ масло (3)</t>
  </si>
  <si>
    <t>Исполнение в радиальном шпоне</t>
  </si>
  <si>
    <r>
      <rPr>
        <u/>
        <sz val="9"/>
        <rFont val="Calibri"/>
        <family val="2"/>
        <charset val="204"/>
        <scheme val="minor"/>
      </rPr>
      <t xml:space="preserve"> 1. При комплектации модели Vario11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</si>
  <si>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2. Триплекс ярко-белый max размер до 2000мм</t>
  </si>
  <si>
    <t>Выведен триплекс ярко-белый из возможного остекления для перегородок</t>
  </si>
  <si>
    <t>Введены ограничения max размера триплекса ярко-белого в полотнах коллекции Standart</t>
  </si>
  <si>
    <t>Standart</t>
  </si>
  <si>
    <t>Современные перегородки</t>
  </si>
  <si>
    <t>*В остекление AmeliaArc по умолчанию входит пвсевдофацет. По желанию можно изготовить со стеклом без декора, прозрачное, СМ1, СМ2</t>
  </si>
  <si>
    <t>*** Rosso в покрытии орех исполняется только в каштановом тоне</t>
  </si>
  <si>
    <t xml:space="preserve">ОРЕХ, каштановый
</t>
  </si>
  <si>
    <t>Плинтусы</t>
  </si>
  <si>
    <t xml:space="preserve">ОРЕХ*
</t>
  </si>
  <si>
    <t>* Полотна с багетом "Britain" в покрытии ОРЕХ изготавливаются только в  каштановом тоне</t>
  </si>
  <si>
    <t>редакция 1</t>
  </si>
  <si>
    <r>
      <t xml:space="preserve">Изменено название коллекции L`union на </t>
    </r>
    <r>
      <rPr>
        <b/>
        <sz val="11"/>
        <color theme="1"/>
        <rFont val="Calibri"/>
        <family val="2"/>
        <charset val="204"/>
        <scheme val="minor"/>
      </rPr>
      <t>Unit</t>
    </r>
  </si>
  <si>
    <t>серия 
Unit</t>
  </si>
  <si>
    <t>Unit Slot 10-111</t>
  </si>
  <si>
    <t>Unit Slot 10-122/123</t>
  </si>
  <si>
    <t>Серия Unit</t>
  </si>
  <si>
    <t>Плоские комбинированные (Unit), м2</t>
  </si>
  <si>
    <t>прайс от 28.09.2023</t>
  </si>
  <si>
    <t>Выведена из ассортимента колонна погонажная</t>
  </si>
  <si>
    <t>Выведен WL -наличник в эмали</t>
  </si>
  <si>
    <t>прайс от 05.10.2023</t>
  </si>
  <si>
    <t>Выведена наценка за исполнение Матовое 5Gl</t>
  </si>
  <si>
    <t>Исполнение  полотен Rino1, Rino2, Rino3, Rino4 в покрытии ПВХ Белый Soft</t>
  </si>
  <si>
    <t>Rino Soft'</t>
  </si>
  <si>
    <t>редакция 2</t>
  </si>
  <si>
    <t>прайс от 18.12.2023</t>
  </si>
  <si>
    <t>Повышение цен на 6%</t>
  </si>
  <si>
    <t>Изменена система наценок для накладок в нестандартном размере</t>
  </si>
  <si>
    <t>Фрамуги_накладки</t>
  </si>
  <si>
    <t>Введены новые цвета алюминиевого профиля</t>
  </si>
  <si>
    <t>Введены новые покрытия, дуб масло (для щитовых полотен, погонажа к ним, стеновых панелей, реек)</t>
  </si>
  <si>
    <t>редакция 3</t>
  </si>
  <si>
    <t>прайс от 16.02.2024</t>
  </si>
  <si>
    <t>Изменены наценки за габариты погонажных изделий</t>
  </si>
  <si>
    <t>Step Q</t>
  </si>
  <si>
    <t>Step RQ</t>
  </si>
  <si>
    <r>
      <t xml:space="preserve">Введены наличники </t>
    </r>
    <r>
      <rPr>
        <b/>
        <sz val="11"/>
        <color theme="1"/>
        <rFont val="Calibri"/>
        <family val="2"/>
        <charset val="204"/>
        <scheme val="minor"/>
      </rPr>
      <t xml:space="preserve">Step Q </t>
    </r>
    <r>
      <rPr>
        <sz val="11"/>
        <color theme="1"/>
        <rFont val="Calibri"/>
        <family val="2"/>
        <scheme val="minor"/>
      </rPr>
      <t xml:space="preserve">и </t>
    </r>
    <r>
      <rPr>
        <b/>
        <sz val="11"/>
        <color theme="1"/>
        <rFont val="Calibri"/>
        <family val="2"/>
        <charset val="204"/>
        <scheme val="minor"/>
      </rPr>
      <t>Step RQ</t>
    </r>
  </si>
  <si>
    <t xml:space="preserve">  ДУБ (масло)</t>
  </si>
  <si>
    <t xml:space="preserve">Введены новые  стандартные цвета эмали: облачный(NCS S 1502G), дымчатый(NCS S 2002-Y50R), галечный (NCS S 3500N), зелёный (NCS S 6010-G50Y), пихтовый (NCS S 7005-B80G), лиловый(NCS S 7005-R20B), коричневый(NCS S 7005-Y80R) </t>
  </si>
  <si>
    <t>Покрытия шпон, эмаль</t>
  </si>
  <si>
    <t>NCS S 1502G</t>
  </si>
  <si>
    <t>NCS S 2002-Y50R</t>
  </si>
  <si>
    <t>NCS S 3500N</t>
  </si>
  <si>
    <t>Эмаль Зелёная</t>
  </si>
  <si>
    <t>Эмаль  Лиловая</t>
  </si>
  <si>
    <t>Эмаль Коричневая</t>
  </si>
  <si>
    <t>NCS S 7005-Y80R</t>
  </si>
  <si>
    <t>NCS S 7005-R20B</t>
  </si>
  <si>
    <t>NCS S 7005-B80G</t>
  </si>
  <si>
    <t>NCS S 6010-G50Y</t>
  </si>
  <si>
    <t>Эмаль Дымчатая</t>
  </si>
  <si>
    <t>Эмаль  Галечная</t>
  </si>
  <si>
    <t>Эмаль Пихтовая</t>
  </si>
  <si>
    <t xml:space="preserve"> Эмаль Облачная</t>
  </si>
  <si>
    <t xml:space="preserve"> Эмаль  BRASH Облачная</t>
  </si>
  <si>
    <t>Эмаль  BRASH Дымчатая</t>
  </si>
  <si>
    <t>Эмаль   BRASH Галечная</t>
  </si>
  <si>
    <t>Эмаль  BRASH Зелёная</t>
  </si>
  <si>
    <t>Эмаль  BRASH Пихтовая</t>
  </si>
  <si>
    <t>Эмаль  BRASH Коричневая</t>
  </si>
  <si>
    <t>Эмаль   BRASH Лиловая</t>
  </si>
  <si>
    <t>Гладкая (16)</t>
  </si>
  <si>
    <t>Брашированная (16)</t>
  </si>
  <si>
    <r>
      <t xml:space="preserve">Введено новое стекло для перегородок </t>
    </r>
    <r>
      <rPr>
        <b/>
        <sz val="11"/>
        <color theme="1"/>
        <rFont val="Calibri"/>
        <family val="2"/>
        <charset val="204"/>
        <scheme val="minor"/>
      </rPr>
      <t>Meta</t>
    </r>
  </si>
  <si>
    <t xml:space="preserve"> Современные перегородки</t>
  </si>
  <si>
    <r>
      <t xml:space="preserve">Введено новое стекло для алюминиевых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</si>
  <si>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t>Алюм. двери Frame</t>
  </si>
  <si>
    <r>
      <t xml:space="preserve">Введена новая модель полотна </t>
    </r>
    <r>
      <rPr>
        <b/>
        <i/>
        <sz val="11"/>
        <color theme="1"/>
        <rFont val="Calibri"/>
        <family val="2"/>
        <charset val="204"/>
        <scheme val="minor"/>
      </rPr>
      <t>Unit 07</t>
    </r>
  </si>
  <si>
    <r>
      <t xml:space="preserve">Введены  новые модели </t>
    </r>
    <r>
      <rPr>
        <b/>
        <i/>
        <sz val="11"/>
        <color theme="1"/>
        <rFont val="Calibri"/>
        <family val="2"/>
        <charset val="204"/>
        <scheme val="minor"/>
      </rPr>
      <t>Space 01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i/>
        <sz val="11"/>
        <color theme="1"/>
        <rFont val="Calibri"/>
        <family val="2"/>
        <charset val="204"/>
        <scheme val="minor"/>
      </rPr>
      <t>Space 12</t>
    </r>
  </si>
  <si>
    <t>Серия Space</t>
  </si>
  <si>
    <r>
      <t xml:space="preserve">Коллекция </t>
    </r>
    <r>
      <rPr>
        <b/>
        <sz val="20"/>
        <color theme="1"/>
        <rFont val="Calibri"/>
        <family val="2"/>
        <charset val="204"/>
      </rPr>
      <t>Eclectica Stripe</t>
    </r>
  </si>
  <si>
    <t>1. Плинтусы</t>
  </si>
  <si>
    <r>
      <t>Алюминиевые перегородки</t>
    </r>
    <r>
      <rPr>
        <b/>
        <sz val="20"/>
        <rFont val="Calibri"/>
        <family val="2"/>
        <charset val="204"/>
      </rPr>
      <t xml:space="preserve"> Steel</t>
    </r>
  </si>
  <si>
    <r>
      <t xml:space="preserve">Алюминиевые перегородки </t>
    </r>
    <r>
      <rPr>
        <b/>
        <sz val="20"/>
        <rFont val="Calibri"/>
        <family val="2"/>
        <charset val="204"/>
      </rPr>
      <t>Meta</t>
    </r>
  </si>
  <si>
    <t>прайс от 19.04.2024</t>
  </si>
  <si>
    <t xml:space="preserve">2. Притворная планка для фрамуги </t>
  </si>
  <si>
    <t xml:space="preserve">Алюминиевая притворная планка для фрамуги </t>
  </si>
  <si>
    <t>Ссылка для расчета / стоимость</t>
  </si>
  <si>
    <r>
      <t xml:space="preserve">Введена притворная планка фрамуги для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</si>
  <si>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t>Классические прегородки</t>
  </si>
  <si>
    <r>
      <t xml:space="preserve">Добавлены цены на Перегородки </t>
    </r>
    <r>
      <rPr>
        <b/>
        <i/>
        <sz val="11"/>
        <color theme="1"/>
        <rFont val="Calibri"/>
        <family val="2"/>
        <charset val="204"/>
        <scheme val="minor"/>
      </rPr>
      <t>Grazia</t>
    </r>
    <r>
      <rPr>
        <sz val="11"/>
        <color theme="1"/>
        <rFont val="Calibri"/>
        <family val="2"/>
        <scheme val="minor"/>
      </rPr>
      <t xml:space="preserve"> со стеклом без декора</t>
    </r>
  </si>
  <si>
    <t>редакция 4</t>
  </si>
  <si>
    <t>Изменение цен на рекламную продукцию</t>
  </si>
  <si>
    <t>прайс от 25.04.2024</t>
  </si>
  <si>
    <t>ОПТ ПОЛОТНА текущего прайса</t>
  </si>
  <si>
    <t>относительно эмали</t>
  </si>
  <si>
    <t>внутри группы</t>
  </si>
  <si>
    <t>к Россо2</t>
  </si>
  <si>
    <t>к Римини2</t>
  </si>
  <si>
    <t>к Россо7</t>
  </si>
  <si>
    <t>к Россо8</t>
  </si>
  <si>
    <t>Porte01+ зеркало с 1 стороны</t>
  </si>
  <si>
    <t>Porte01+ зеркало с 2х сторон</t>
  </si>
  <si>
    <t>к Модене</t>
  </si>
  <si>
    <t>к Амелии ДГ</t>
  </si>
  <si>
    <t>к Палермо</t>
  </si>
  <si>
    <t>равна Амелии8 с фацетом</t>
  </si>
  <si>
    <t>Step, Space</t>
  </si>
  <si>
    <t>Podio</t>
  </si>
  <si>
    <t>серия Linea/ Twist/Lingo</t>
  </si>
  <si>
    <t xml:space="preserve">серия Mezzo  </t>
  </si>
  <si>
    <t>прайс от 08.05.24</t>
  </si>
  <si>
    <t>Eclectica_Belluno</t>
  </si>
  <si>
    <r>
      <t xml:space="preserve">Полотно </t>
    </r>
    <r>
      <rPr>
        <b/>
        <sz val="11"/>
        <color theme="1"/>
        <rFont val="Calibri"/>
        <family val="2"/>
        <charset val="204"/>
        <scheme val="minor"/>
      </rPr>
      <t>Bruno2</t>
    </r>
    <r>
      <rPr>
        <sz val="11"/>
        <color theme="1"/>
        <rFont val="Calibri"/>
        <family val="2"/>
        <scheme val="minor"/>
      </rPr>
      <t xml:space="preserve"> перенесено на вкладку </t>
    </r>
    <r>
      <rPr>
        <b/>
        <sz val="11"/>
        <color theme="1"/>
        <rFont val="Calibri"/>
        <family val="2"/>
        <charset val="204"/>
        <scheme val="minor"/>
      </rPr>
      <t>Plainе</t>
    </r>
  </si>
  <si>
    <t>Fusion_Plainе</t>
  </si>
  <si>
    <t>Снижение цен на прочие полотна.</t>
  </si>
  <si>
    <t>Серия Wave</t>
  </si>
  <si>
    <t>серия 
Step / Space</t>
  </si>
  <si>
    <r>
      <t xml:space="preserve">Повышение цены на полотна серии </t>
    </r>
    <r>
      <rPr>
        <b/>
        <sz val="11"/>
        <color theme="1"/>
        <rFont val="Calibri"/>
        <family val="2"/>
        <charset val="204"/>
        <scheme val="minor"/>
      </rPr>
      <t>Belluno.</t>
    </r>
  </si>
  <si>
    <t>Выведена вставка для двери шкафа-купе для системы ARISTO</t>
  </si>
  <si>
    <r>
      <t xml:space="preserve">Введено новое стекло в коллекцию </t>
    </r>
    <r>
      <rPr>
        <b/>
        <sz val="11"/>
        <color theme="1"/>
        <rFont val="Calibri"/>
        <family val="2"/>
        <charset val="204"/>
        <scheme val="minor"/>
      </rPr>
      <t>Provence Amelia</t>
    </r>
    <r>
      <rPr>
        <sz val="11"/>
        <color theme="1"/>
        <rFont val="Calibri"/>
        <family val="2"/>
        <scheme val="minor"/>
      </rPr>
      <t xml:space="preserve"> и перегородки </t>
    </r>
    <r>
      <rPr>
        <b/>
        <sz val="11"/>
        <color theme="1"/>
        <rFont val="Calibri"/>
        <family val="2"/>
        <charset val="204"/>
        <scheme val="minor"/>
      </rPr>
      <t>Grazia</t>
    </r>
  </si>
  <si>
    <t>Патинирование багета  ( с 2х сторон перегородки)</t>
  </si>
  <si>
    <r>
      <t xml:space="preserve">полотно с фацетным стеклом </t>
    </r>
    <r>
      <rPr>
        <b/>
        <i/>
        <sz val="9"/>
        <rFont val="Calibri"/>
        <family val="2"/>
        <charset val="204"/>
        <scheme val="minor"/>
      </rPr>
      <t>(рефлектив зеркальный)</t>
    </r>
  </si>
  <si>
    <r>
      <t xml:space="preserve">Выведено из основного прайса полотно </t>
    </r>
    <r>
      <rPr>
        <b/>
        <sz val="11"/>
        <color theme="1"/>
        <rFont val="Calibri"/>
        <family val="2"/>
        <charset val="204"/>
        <scheme val="minor"/>
      </rPr>
      <t>Bruno2</t>
    </r>
  </si>
  <si>
    <t>редакция 1   (от 24.05.2024)</t>
  </si>
  <si>
    <t>эмаль/шпон</t>
  </si>
  <si>
    <t>Порталы: колонны и карнизы</t>
  </si>
  <si>
    <t>ПРОЧИЕ ИЗДЕЛИЯ</t>
  </si>
  <si>
    <t>АЛЮМИНИЕВЫЕ ДВЕРИ И ПЕРЕГОРОДКИ</t>
  </si>
  <si>
    <t>ЭМАЛЬ Гладкая</t>
  </si>
  <si>
    <t>400, 500, 600, 
700, 800</t>
  </si>
  <si>
    <t>Изделия, необходимые для комплектации заказа Frame</t>
  </si>
  <si>
    <t>2. В моделях Race рифленое стекло не применяется</t>
  </si>
  <si>
    <t xml:space="preserve">Модель </t>
  </si>
  <si>
    <t>толщина накладки, мм</t>
  </si>
  <si>
    <t>12 мм</t>
  </si>
  <si>
    <t>16 мм</t>
  </si>
  <si>
    <t>22 мм</t>
  </si>
  <si>
    <t>ФРАМУГИ</t>
  </si>
  <si>
    <t>НАКЛАДКИ</t>
  </si>
  <si>
    <t>Цена накладки зависит от модели и толщины накладки</t>
  </si>
  <si>
    <r>
      <t xml:space="preserve">Алюминиевые двери </t>
    </r>
    <r>
      <rPr>
        <b/>
        <sz val="20"/>
        <rFont val="Calibri"/>
        <family val="2"/>
        <charset val="204"/>
      </rPr>
      <t>Frame</t>
    </r>
  </si>
  <si>
    <t>серый , галечный, дымчатый, телегрей</t>
  </si>
  <si>
    <t>Покрытие ARTEX переводится в отдельный прайс</t>
  </si>
  <si>
    <t>Изменение цен на алюм.кромки, зеркала и лакобель.</t>
  </si>
  <si>
    <r>
      <t>Перегородки</t>
    </r>
    <r>
      <rPr>
        <b/>
        <sz val="20"/>
        <rFont val="Calibri"/>
        <family val="2"/>
        <charset val="204"/>
      </rPr>
      <t xml:space="preserve"> Grazia</t>
    </r>
  </si>
  <si>
    <r>
      <t xml:space="preserve">Перегородки </t>
    </r>
    <r>
      <rPr>
        <b/>
        <sz val="20"/>
        <rFont val="Calibri"/>
        <family val="2"/>
        <charset val="204"/>
      </rPr>
      <t>Race</t>
    </r>
  </si>
  <si>
    <r>
      <t xml:space="preserve">Перегородки </t>
    </r>
    <r>
      <rPr>
        <b/>
        <sz val="20"/>
        <rFont val="Calibri"/>
        <family val="2"/>
        <charset val="204"/>
      </rPr>
      <t>Corsa</t>
    </r>
  </si>
  <si>
    <t>покрытие</t>
  </si>
  <si>
    <t>IX</t>
  </si>
  <si>
    <t>СТОИМОСТЬ ЗА КОМПЛЕКТ</t>
  </si>
  <si>
    <t>Porte52-00</t>
  </si>
  <si>
    <t>Slot 10-001</t>
  </si>
  <si>
    <t>Добавлена новая вкладка с ценами на комплекты</t>
  </si>
  <si>
    <t>модель/ серия</t>
  </si>
  <si>
    <t>Браш</t>
  </si>
  <si>
    <t xml:space="preserve">Vetro11 </t>
  </si>
  <si>
    <t xml:space="preserve">Vetro12 </t>
  </si>
  <si>
    <t xml:space="preserve">Vetro13 </t>
  </si>
  <si>
    <t xml:space="preserve">Vetro14 </t>
  </si>
  <si>
    <t xml:space="preserve">серия Lingo </t>
  </si>
  <si>
    <t xml:space="preserve">Plainе1 </t>
  </si>
  <si>
    <t>Rino1 /Marko1</t>
  </si>
  <si>
    <t xml:space="preserve">Rino4/Lina6 </t>
  </si>
  <si>
    <t xml:space="preserve">Garda2 </t>
  </si>
  <si>
    <t xml:space="preserve">Garda4 </t>
  </si>
  <si>
    <t>AmeliaArc1</t>
  </si>
  <si>
    <t>Amelia8/10/12 без декор</t>
  </si>
  <si>
    <t>Amelia8/10/12 фацет</t>
  </si>
  <si>
    <t>Amelia8/10/12 рефлек</t>
  </si>
  <si>
    <t>серия Unit</t>
  </si>
  <si>
    <t>серия Capriccio</t>
  </si>
  <si>
    <t>серия  Spline</t>
  </si>
  <si>
    <t>серия Step / Space</t>
  </si>
  <si>
    <t>серия Podio</t>
  </si>
  <si>
    <t>Modena1 /2/3</t>
  </si>
  <si>
    <t>Palermo1 /2</t>
  </si>
  <si>
    <t xml:space="preserve">Venice6 </t>
  </si>
  <si>
    <t xml:space="preserve">Arno </t>
  </si>
  <si>
    <t>Rosso2 ДГ</t>
  </si>
  <si>
    <t>Rosso2 ДО</t>
  </si>
  <si>
    <t>Rosso7 ДО</t>
  </si>
  <si>
    <t>Rosso8 ДО</t>
  </si>
  <si>
    <t xml:space="preserve">Rimini1 </t>
  </si>
  <si>
    <t xml:space="preserve">Rimini2 </t>
  </si>
  <si>
    <t>Изменения в расчете накладки ( в зависимости от толщины).</t>
  </si>
  <si>
    <t>Комплекты</t>
  </si>
  <si>
    <r>
      <t>Plainе3</t>
    </r>
    <r>
      <rPr>
        <sz val="10"/>
        <color theme="1"/>
        <rFont val="Calibri"/>
        <family val="2"/>
        <charset val="204"/>
        <scheme val="minor"/>
      </rPr>
      <t/>
    </r>
  </si>
  <si>
    <r>
      <t>Plainе4</t>
    </r>
    <r>
      <rPr>
        <sz val="10"/>
        <color theme="1"/>
        <rFont val="Calibri"/>
        <family val="2"/>
        <charset val="204"/>
        <scheme val="minor"/>
      </rPr>
      <t/>
    </r>
  </si>
  <si>
    <t>серия Stripe</t>
  </si>
  <si>
    <t>серия Elegance</t>
  </si>
  <si>
    <t>серия Turin</t>
  </si>
  <si>
    <t>серия Bergamo</t>
  </si>
  <si>
    <t>серия Belluno</t>
  </si>
  <si>
    <t>серия Louver</t>
  </si>
  <si>
    <t>Porte39 -00
(Porte01 )</t>
  </si>
  <si>
    <t>Porte39-01  (4Ал)</t>
  </si>
  <si>
    <t>Porte39-11  (4Ал)</t>
  </si>
  <si>
    <t>Porte52-01  (4Ал)</t>
  </si>
  <si>
    <t>Porte52-11  (4Ал)</t>
  </si>
  <si>
    <t>Vetro18  (4Ал)</t>
  </si>
  <si>
    <t>Slot 10-002/004 (2Aл )</t>
  </si>
  <si>
    <t>Slot41-002 (2Aл )</t>
  </si>
  <si>
    <t>Unit Slot 10-122/123 (2Aл )</t>
  </si>
  <si>
    <t>серия Wave (2Aл )</t>
  </si>
  <si>
    <t>к Амелии с Фацетом</t>
  </si>
  <si>
    <t>Из прайса убрали функцию округления цен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</si>
  <si>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2120х75х34 - 2.5 шт.;
наличник плоский (L) 2150х75х10 - 5 шт.</t>
    </r>
  </si>
  <si>
    <t>10(16)*75*2000 мм</t>
  </si>
  <si>
    <t>10(16)*90*2000 мм</t>
  </si>
  <si>
    <t>10(16)*110*2000 мм</t>
  </si>
  <si>
    <t>за 50 мм *</t>
  </si>
  <si>
    <t>* Шаг для ширины добора от 250 до 1000мм.</t>
  </si>
  <si>
    <t>редакция 2   (от 07.06.2024)</t>
  </si>
  <si>
    <t>4. В моделях Steel и Meta ручка входит в комплект и  интегрирована в перегородку. По желанию можно заказать без ручки, цена при этом не изменится.</t>
  </si>
  <si>
    <t>Варианты исполнения:</t>
  </si>
  <si>
    <t>2. Рифленое стекло применяется только для  Meta 1</t>
  </si>
  <si>
    <t>3. Остальные ограничения по применению стекол в отдельных моделях см. в техническом каталоге</t>
  </si>
  <si>
    <t>Добавлены новые цвета лакобеля ( галечный, дымчатый, телегрей)</t>
  </si>
  <si>
    <t>Серый, галечный, дымчатый, телегрей</t>
  </si>
  <si>
    <t>10 х 90 х 2150 мм</t>
  </si>
  <si>
    <t>10 х 110 х 2400 мм</t>
  </si>
  <si>
    <t>10 х 150 х 2700 мм</t>
  </si>
  <si>
    <t>SQ</t>
  </si>
  <si>
    <t>Введены новые короб  и наличник SQ</t>
  </si>
  <si>
    <t>редакция 3   (от 08.07.2024)</t>
  </si>
  <si>
    <t>Стоимость алюминиевой кромки на полотна обратного открывания внесена отдельным пунктом</t>
  </si>
  <si>
    <t>стоимость = ЦЕНА ПОЛОТНА  х КОЭФФИЦИЕНТ ТОЛЩИНЫ</t>
  </si>
  <si>
    <t xml:space="preserve">Vetro19 </t>
  </si>
  <si>
    <t>Vetro20</t>
  </si>
  <si>
    <t>Vetro21</t>
  </si>
  <si>
    <t>редакция 4   (от 22.07.2024)</t>
  </si>
  <si>
    <t>Введены новые модели полотен Vetro 19, 20, 21</t>
  </si>
  <si>
    <t>10 х 90 х 2700</t>
  </si>
  <si>
    <t>Внесены изменения в размеры и стоимость погоножа SQ</t>
  </si>
  <si>
    <t>редакция 5   (от 25.07.2024)</t>
  </si>
  <si>
    <t>прайс от 01.09.24</t>
  </si>
  <si>
    <t>процент изменения цены</t>
  </si>
  <si>
    <t>Цвет шампань выведен из ассортимента алюминиевого профиля</t>
  </si>
  <si>
    <t>Введены новые цвета алюминиевого профиля (короба, кромки, перегородки)</t>
  </si>
  <si>
    <t>Увеличение цен на 3-5% на весь ассортимент.</t>
  </si>
  <si>
    <t>старые цены</t>
  </si>
  <si>
    <t>% изменения</t>
  </si>
  <si>
    <t>Porte52-11*</t>
  </si>
  <si>
    <t>новые цены</t>
  </si>
  <si>
    <t>стоимость погонажа</t>
  </si>
  <si>
    <t>Серебро САТИН</t>
  </si>
  <si>
    <t>Графит САТИН, 
БРОНЗА САТИН</t>
  </si>
  <si>
    <t>Изменилась цена на молдинг латунный разделе стеновых панелей</t>
  </si>
  <si>
    <t>Стен. панели</t>
  </si>
  <si>
    <t>Редакция 1        (от 01 09 24)</t>
  </si>
  <si>
    <t>Изменения в комплектации Frame (кол-во петель от 3х шт.  петлей К 6360 )</t>
  </si>
  <si>
    <t>Steel_Meta_Frame</t>
  </si>
  <si>
    <t>Введена новая серия полотен SAVONA</t>
  </si>
  <si>
    <t>Откорректированы цены по шашкам стандартным</t>
  </si>
  <si>
    <t>Стык.элементы</t>
  </si>
  <si>
    <t>1. Односторонний расширитель  Q может быть изготовлен шириной до 1000 мм с кратностью 100 мм. Для расчета цены используется стоимость расширителя 100 мм с поправкой на кратность</t>
  </si>
  <si>
    <t>Savona</t>
  </si>
  <si>
    <t>Savona 2</t>
  </si>
  <si>
    <t>Savona 2b</t>
  </si>
  <si>
    <t>Savona ДО</t>
  </si>
  <si>
    <r>
      <t xml:space="preserve">Коллекция </t>
    </r>
    <r>
      <rPr>
        <b/>
        <sz val="20"/>
        <color theme="1"/>
        <rFont val="Calibri"/>
        <family val="2"/>
        <charset val="204"/>
      </rPr>
      <t>Provence Savona</t>
    </r>
  </si>
  <si>
    <t>Редакция 2        (от 23 09 24)</t>
  </si>
  <si>
    <t>Provеnce Savona</t>
  </si>
  <si>
    <t xml:space="preserve">Редакция 3       (от 09 10 24) </t>
  </si>
  <si>
    <t>серия 
ANSE</t>
  </si>
  <si>
    <t xml:space="preserve">Серия Anse  </t>
  </si>
  <si>
    <r>
      <t xml:space="preserve">             </t>
    </r>
    <r>
      <rPr>
        <b/>
        <sz val="10"/>
        <color theme="1"/>
        <rFont val="Calibri"/>
        <family val="2"/>
        <charset val="204"/>
        <scheme val="minor"/>
      </rPr>
      <t xml:space="preserve">  Anse 1         Anse 2          Anse 3</t>
    </r>
  </si>
  <si>
    <t>Space  01          Space 02              Space 12           Space 22</t>
  </si>
  <si>
    <t>Введена новая серия полотен ANSE и новые модели серии Space</t>
  </si>
  <si>
    <t>кружка 300 мл</t>
  </si>
  <si>
    <t>современный шпон (50 шт.)</t>
  </si>
  <si>
    <t>современная эмаль (50 шт.)</t>
  </si>
  <si>
    <t>неоклассика (50 шт.)</t>
  </si>
  <si>
    <t>классика (50 шт.)</t>
  </si>
  <si>
    <t>Каталог генеральный, 1 шт.</t>
  </si>
  <si>
    <t>Буклеты</t>
  </si>
  <si>
    <t>Раздатка с QR кодами</t>
  </si>
  <si>
    <t>Сетрификат на следующую покупку</t>
  </si>
  <si>
    <t>POS-МАТЕРИАЛЫ</t>
  </si>
  <si>
    <t>СУВЕНИРНАЯ ПРОДУКЦИЯ</t>
  </si>
  <si>
    <t>СТЕНДЫ</t>
  </si>
  <si>
    <t>Стенд "ШПОН"</t>
  </si>
  <si>
    <t>Стенд "ЭМАЛЬ"</t>
  </si>
  <si>
    <t>Стенд "СИСТЕМЫ КОРОБОВ"</t>
  </si>
  <si>
    <t>7000*</t>
  </si>
  <si>
    <t>КОРОБКИ</t>
  </si>
  <si>
    <t>Покрытия (шпон/эмаль)</t>
  </si>
  <si>
    <t>Базовые стекла</t>
  </si>
  <si>
    <t>Стекла для перегородок</t>
  </si>
  <si>
    <t>Алюминиевые конструкции</t>
  </si>
  <si>
    <t>Древянный погонаж</t>
  </si>
  <si>
    <t>Плинтуса/шашки/пьедесталы/рейки</t>
  </si>
  <si>
    <t>Образцы ПВХ</t>
  </si>
  <si>
    <t>Уплотнители</t>
  </si>
  <si>
    <t>Каталог RAL</t>
  </si>
  <si>
    <t>Каталог NCS</t>
  </si>
  <si>
    <t>ЭКСПОЗИТОРЫ</t>
  </si>
  <si>
    <t>Короб 541 прямого открывания</t>
  </si>
  <si>
    <t>Короб 541 обратногооткрывания</t>
  </si>
  <si>
    <t>Внесены изменения в раздел рекламной продукции</t>
  </si>
  <si>
    <t>Введены алюминиевые наличники для коробов ПСК1, ПСК2, ОСК1, ОСК2</t>
  </si>
  <si>
    <t>Комплект AL наличников для полотен высотой от 2311мм и до 3010мм и шириной до 900мм</t>
  </si>
  <si>
    <t>Комплект AL наличников для полотен высотой до 2310мм  и шириной до 900мм</t>
  </si>
  <si>
    <t>6. Алюминиевая декоративная планка (для перегородок Meta)</t>
  </si>
  <si>
    <t>2. Алюминиевые наличники ( комплект на одну сторону)*</t>
  </si>
  <si>
    <t>3. Алюминиевые кромки прямого открывания</t>
  </si>
  <si>
    <t>4. Алюминиевые кромки обратного открывания</t>
  </si>
  <si>
    <t>5. Алюминиевый плинтус*</t>
  </si>
  <si>
    <t>Зеркало "Серебро", "Бронза", "Графит"</t>
  </si>
  <si>
    <t>Зеркало Cатин "Серебро", "Бронза", "Графит"</t>
  </si>
  <si>
    <t>Количество / Детализация</t>
  </si>
  <si>
    <t>1 шт. (черный)</t>
  </si>
  <si>
    <t>1 м. (черный)</t>
  </si>
  <si>
    <t>2 м. (черный)</t>
  </si>
  <si>
    <t>3 м. (черный)</t>
  </si>
  <si>
    <r>
      <t xml:space="preserve">3-4 шт. </t>
    </r>
    <r>
      <rPr>
        <sz val="8"/>
        <rFont val="Calibri"/>
        <family val="2"/>
        <charset val="204"/>
        <scheme val="minor"/>
      </rPr>
      <t>(в зависимости от габаритов полотна</t>
    </r>
    <r>
      <rPr>
        <sz val="9"/>
        <rFont val="Calibri"/>
        <family val="2"/>
        <charset val="204"/>
        <scheme val="minor"/>
      </rPr>
      <t>) К6360 (черные)</t>
    </r>
  </si>
  <si>
    <t>1 шт. Morelli (черный) или AGB (черный)</t>
  </si>
  <si>
    <t>Дарк Грей 
(прозрачная пленка)</t>
  </si>
  <si>
    <t>Стекло рифленое Moru-Ultra</t>
  </si>
  <si>
    <t>Стекло рифленое Moru-Rainbow</t>
  </si>
  <si>
    <t>Стекло рифленое Estriado</t>
  </si>
  <si>
    <t>Введены новые стеновые панели</t>
  </si>
  <si>
    <t>В конструкции моделей Palermo1 и Palermo2 произошли изменения по применяемости стекла</t>
  </si>
  <si>
    <t>Выведены стекла триплекс 4+4мм черное и бронза из раздела перегородки</t>
  </si>
  <si>
    <t>Типовые панели</t>
  </si>
  <si>
    <t>Плоская QUADRA (кратность 8)</t>
  </si>
  <si>
    <t>Плоская MEDIA 
(кратность 4)</t>
  </si>
  <si>
    <t>Плоская LUNGO (кратность 5)</t>
  </si>
  <si>
    <t xml:space="preserve">Стартовый профиль* ( хром) </t>
  </si>
  <si>
    <t xml:space="preserve">Соединительный профиль*         ( хром) </t>
  </si>
  <si>
    <t xml:space="preserve">Угловой профиль* ( хром) </t>
  </si>
  <si>
    <t>*- Стоимость указана за метр</t>
  </si>
  <si>
    <t>1. Сборка панелей осуществляется через соединительный профиль, торец обрамляется стартовым профилем.</t>
  </si>
  <si>
    <t>2. Возможные цвета профилей : хром, черный, выкрас по рал и NCS.</t>
  </si>
  <si>
    <t>3. Стоимость профилей в цвете черный или выкрас по рал и NCS +20%</t>
  </si>
  <si>
    <t>4. Направление рисунка панели вдоль длинного края, если иное не предусмотрено (аналогично доборам)</t>
  </si>
  <si>
    <t>5. Заказ на панели оформляется на спец. Бланке "Стеновые панели"</t>
  </si>
  <si>
    <t>6. Все стеновые панели изготавливаются по эскизу.</t>
  </si>
  <si>
    <t>7. Элементы для крепления и обрамления панелей в стоимость не входят и заказываются отдельно</t>
  </si>
  <si>
    <t>8. Возможность изготовления в горизонтальном направлении для панелей MEDIA и LUNGO см. вкладку покрытия.</t>
  </si>
  <si>
    <t>500*500*10</t>
  </si>
  <si>
    <t xml:space="preserve"> 1100*500*10</t>
  </si>
  <si>
    <t>2700*300*10</t>
  </si>
  <si>
    <t>Элементы для крепления и обрамления панелей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</si>
  <si>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(без кромки, если не указано иное) - 1 шт.;
Комплект алюминиевого короба в цвете хром ;
В комплект не входит фурнитура.</t>
    </r>
  </si>
  <si>
    <t>Frame (черн)+короб черный</t>
  </si>
  <si>
    <t xml:space="preserve">Редакция 4       (от 28 10 24) </t>
  </si>
  <si>
    <t xml:space="preserve">Редакция 5       (от 30 10 24) </t>
  </si>
  <si>
    <t>палетирование (1 палета+лента до 8 полотен)</t>
  </si>
  <si>
    <t>палета</t>
  </si>
  <si>
    <t>доплата за усиленную индивидуальную упаковку для перегородок</t>
  </si>
  <si>
    <t>глухой короб</t>
  </si>
  <si>
    <t>В раздел "прочие наценки" добавлены новые транспортировочные упаковки</t>
  </si>
  <si>
    <t>Прочее наценки</t>
  </si>
  <si>
    <t>Ручка Frame</t>
  </si>
  <si>
    <t>пара  Нажимная ручка на квадратном основании (золото,латунь, медный, антик)</t>
  </si>
  <si>
    <r>
      <rPr>
        <b/>
        <i/>
        <sz val="10"/>
        <rFont val="Calibri"/>
        <family val="2"/>
        <charset val="204"/>
        <scheme val="minor"/>
      </rPr>
      <t xml:space="preserve">Примечание: </t>
    </r>
    <r>
      <rPr>
        <sz val="10"/>
        <rFont val="Calibri"/>
        <family val="2"/>
        <charset val="204"/>
        <scheme val="minor"/>
      </rPr>
      <t>изделия, необходимые для комплектации заказа Frame в цвете  золото,латунь, медный, антик +20% к стоимости черных.</t>
    </r>
  </si>
  <si>
    <t xml:space="preserve"> золото,латунь, медный, антик</t>
  </si>
  <si>
    <t>золото,латунь, медный, антик</t>
  </si>
  <si>
    <t>В раздел внесена ручка Frame в новых цветах (золото,латунь, медный, антик)</t>
  </si>
  <si>
    <r>
      <rPr>
        <vertAlign val="superscript"/>
        <sz val="11"/>
        <rFont val="Calibri"/>
        <family val="2"/>
        <charset val="204"/>
        <scheme val="minor"/>
      </rPr>
      <t>4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золото,латунь, медный, антик. Наценка 1000 руб. за комплект</t>
    </r>
  </si>
  <si>
    <r>
      <rPr>
        <vertAlign val="superscript"/>
        <sz val="11"/>
        <rFont val="Calibri"/>
        <family val="2"/>
        <charset val="204"/>
        <scheme val="minor"/>
      </rPr>
      <t>2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золото,латунь, медный, антик. Наценка 1500 руб. за комплект</t>
    </r>
  </si>
  <si>
    <t>Sienna2</t>
  </si>
  <si>
    <t>Sienna2b</t>
  </si>
  <si>
    <t>Введены новые модели полотен Sienna 2 и 2b</t>
  </si>
  <si>
    <t>Provеnce Sienna</t>
  </si>
  <si>
    <t>Выведен цвет никель из алюминиевого профиля (коробки, кромки, перегородки)</t>
  </si>
  <si>
    <t xml:space="preserve">Редакция 6       (от 01 11 24) </t>
  </si>
  <si>
    <t>РРЦ ПОЛОТНА предыдущего прайса 01.09.2024</t>
  </si>
  <si>
    <t>РРЦ ПОЛОТНА текущего прайса 02.12.2024</t>
  </si>
  <si>
    <t>ОПТ ПОЛОТНА предыдущего прайса</t>
  </si>
  <si>
    <t>не нацениваем коэфиц по покрытиям на стекло, см столбец А</t>
  </si>
  <si>
    <t>% повышения</t>
  </si>
  <si>
    <t>ral</t>
  </si>
  <si>
    <t>Отклонения</t>
  </si>
  <si>
    <t>РРЦ текущего прайса от 02.12.24</t>
  </si>
  <si>
    <t>РРЦ предыдущего прайса</t>
  </si>
  <si>
    <t>дуб</t>
  </si>
  <si>
    <t>Масло</t>
  </si>
  <si>
    <t>L прямой/ Z 75*10/ L полукруглый 16*75</t>
  </si>
  <si>
    <t>накладка для скрытого плинтуса</t>
  </si>
  <si>
    <t xml:space="preserve"> Тип3</t>
  </si>
  <si>
    <t xml:space="preserve"> Тип4</t>
  </si>
  <si>
    <t>равна наличнику L75*10</t>
  </si>
  <si>
    <t>равна наличнику Q 90*10</t>
  </si>
  <si>
    <t>Бронза, Грей 
(прозрачная пленка)</t>
  </si>
  <si>
    <t>пара  Нажимная ручка на квадратном основании диаметром более 22мм. (черная)</t>
  </si>
  <si>
    <t>АЛЮМИНИЙ</t>
  </si>
  <si>
    <r>
      <t>Corsa/</t>
    </r>
    <r>
      <rPr>
        <b/>
        <sz val="11"/>
        <rFont val="Calibri"/>
        <family val="2"/>
        <charset val="204"/>
        <scheme val="minor"/>
      </rPr>
      <t>Race</t>
    </r>
  </si>
  <si>
    <t>Meta</t>
  </si>
  <si>
    <t>Профиль
Анодированный</t>
  </si>
  <si>
    <t>Профиль
крашеный</t>
  </si>
  <si>
    <t>Золото, латунь, антик, медь</t>
  </si>
  <si>
    <t>RAL</t>
  </si>
  <si>
    <t>Стекло без декора (СМ0)</t>
  </si>
  <si>
    <t xml:space="preserve">прозрачное Флоат </t>
  </si>
  <si>
    <t>прозрачное Бронза</t>
  </si>
  <si>
    <t>прозрачное Грей</t>
  </si>
  <si>
    <t>Фацет (СМ0)</t>
  </si>
  <si>
    <t>Фацет рефлектив</t>
  </si>
  <si>
    <t>Рефлектив Серебро</t>
  </si>
  <si>
    <t>Рефлектив Бронза</t>
  </si>
  <si>
    <t>Триплекс
4+4 мм</t>
  </si>
  <si>
    <t>прозрачное Флоат 
(прозрачная пленка)</t>
  </si>
  <si>
    <t>Белое, Серое 
(цветная пленка)</t>
  </si>
  <si>
    <t>прозрачное Optiwhite 
(прозрачная пленка)</t>
  </si>
  <si>
    <t>Дизайнерские стекла 8мм</t>
  </si>
  <si>
    <t>1. Возможно матирование с одной стороны (СМ1) +5%; матирование с 2-х сторон (СМ2)+10%</t>
  </si>
  <si>
    <t>5. Патинирование багета для Grazia ( с 2х сторон перегородки): винтаж, золото, бронза, серебро + 3%</t>
  </si>
  <si>
    <t xml:space="preserve">5.  Meta V/G +5% </t>
  </si>
  <si>
    <t>стандартные цвета</t>
  </si>
  <si>
    <t>3. Ограничения по применению стекол в отдельных моделях см. в техническом каталоге</t>
  </si>
  <si>
    <t>Дуб/ 
Ясень RAL (NCS)</t>
  </si>
  <si>
    <t>Grazia8/10/12</t>
  </si>
  <si>
    <t>Grazia ARC</t>
  </si>
  <si>
    <t>Псевдофацет</t>
  </si>
  <si>
    <t>Бронза</t>
  </si>
  <si>
    <t>Серебро</t>
  </si>
  <si>
    <t>стоимость полотна 2000*800</t>
  </si>
  <si>
    <t>S, кв.м</t>
  </si>
  <si>
    <t>стоимость кв.м. текущего прайса</t>
  </si>
  <si>
    <t>расчет</t>
  </si>
  <si>
    <t>на 1.12.24</t>
  </si>
  <si>
    <t>Стекло 4 мм</t>
  </si>
  <si>
    <t>флоат</t>
  </si>
  <si>
    <t>евробронза</t>
  </si>
  <si>
    <t>грей</t>
  </si>
  <si>
    <t>оптивайт</t>
  </si>
  <si>
    <t>Сатинат 4 мм</t>
  </si>
  <si>
    <t>Пескоструй 4 мм</t>
  </si>
  <si>
    <t>Зеркало</t>
  </si>
  <si>
    <t>Зеркало сатинат</t>
  </si>
  <si>
    <t>серебро сатин</t>
  </si>
  <si>
    <t>бронза сатин</t>
  </si>
  <si>
    <t>графит сатин</t>
  </si>
  <si>
    <t>Дизайн</t>
  </si>
  <si>
    <t>мору</t>
  </si>
  <si>
    <t>рейнбоу</t>
  </si>
  <si>
    <t>эстриадо</t>
  </si>
  <si>
    <t>серый</t>
  </si>
  <si>
    <t>дарк грей</t>
  </si>
  <si>
    <t>Дополнительная обработка стекла</t>
  </si>
  <si>
    <t>Еврокромка</t>
  </si>
  <si>
    <t>Закалка</t>
  </si>
  <si>
    <t>за шт</t>
  </si>
  <si>
    <t>Отверстие на стекле (1 шт)</t>
  </si>
  <si>
    <t>стоимость комплекта погонажа</t>
  </si>
  <si>
    <t>предыдущие цены</t>
  </si>
  <si>
    <t xml:space="preserve">Редакция 1
(от 02.12.24) </t>
  </si>
  <si>
    <t>прайс от 02.12.24</t>
  </si>
  <si>
    <t>серия  
Spline/ Breeze</t>
  </si>
  <si>
    <t>Cерия Spline/Breeze</t>
  </si>
  <si>
    <t>РРЦ предыдущего прайса от 01/09/24</t>
  </si>
  <si>
    <t>Кромка</t>
  </si>
  <si>
    <t>прямая</t>
  </si>
  <si>
    <t>обратная</t>
  </si>
  <si>
    <t>Наличники (комплект на 1у сторону)</t>
  </si>
  <si>
    <t>для полотен высотой до 2310мм  и шириной до 900мм</t>
  </si>
  <si>
    <t>для полотен высотой от 2311мм и до 3010мм и шириной до 900мм</t>
  </si>
  <si>
    <t>скрытый</t>
  </si>
  <si>
    <t>за п.м</t>
  </si>
  <si>
    <r>
      <rPr>
        <vertAlign val="superscript"/>
        <sz val="9"/>
        <rFont val="Calibri"/>
        <family val="2"/>
        <charset val="204"/>
        <scheme val="minor"/>
      </rPr>
      <t>1.</t>
    </r>
    <r>
      <rPr>
        <sz val="9"/>
        <rFont val="Calibri"/>
        <family val="2"/>
        <charset val="204"/>
        <scheme val="minor"/>
      </rPr>
      <t xml:space="preserve"> Для полотен высотой более 3010 и шириной более 900 заказ принимается по эскизу.</t>
    </r>
  </si>
  <si>
    <r>
      <rPr>
        <vertAlign val="superscript"/>
        <sz val="9"/>
        <rFont val="Calibri"/>
        <family val="2"/>
        <charset val="204"/>
        <scheme val="minor"/>
      </rPr>
      <t>2.</t>
    </r>
    <r>
      <rPr>
        <sz val="9"/>
        <rFont val="Calibri"/>
        <family val="2"/>
        <charset val="204"/>
        <scheme val="minor"/>
      </rPr>
      <t xml:space="preserve"> Накладки на алюминиевый плинтус рассчитываются по цене плоского L-наличника в соответствующем покрытии и ширине при толщине 10 мм (110 при толщине 16 мм); для плинтосов под грунт по цене  ПВХ.</t>
    </r>
  </si>
  <si>
    <r>
      <rPr>
        <vertAlign val="superscript"/>
        <sz val="9"/>
        <rFont val="Calibri"/>
        <family val="2"/>
        <charset val="204"/>
        <scheme val="minor"/>
      </rPr>
      <t>3.</t>
    </r>
    <r>
      <rPr>
        <sz val="9"/>
        <rFont val="Calibri"/>
        <family val="2"/>
        <charset val="204"/>
        <scheme val="minor"/>
      </rPr>
      <t xml:space="preserve"> Заказы на алюминиевые плинтуса принимаются со склада свободных остатков</t>
    </r>
  </si>
  <si>
    <t>Декор.планка для Меты</t>
  </si>
  <si>
    <t>за 2 м</t>
  </si>
  <si>
    <t>за 3 м</t>
  </si>
  <si>
    <t>Стекло рифленое</t>
  </si>
  <si>
    <t>* --  в стоимость не входят петли ( К6360 мат.хром=4шт.,  НН-24 мат.хром=2шт., 7800 мат.хром=2шт., К2760 мат.хром=4шт., К 2460 черн.=2шт.)</t>
  </si>
  <si>
    <t xml:space="preserve">Для дверей Frame выведен вид остекления рифленное стекло  </t>
  </si>
  <si>
    <t xml:space="preserve">Редакция 2
(от 12.12.24) </t>
  </si>
  <si>
    <t xml:space="preserve">Редакция 3
(от 25.12.24) </t>
  </si>
  <si>
    <t>Корректировка цен на стекло для моделей Rino4/Lina6 ДГО2</t>
  </si>
  <si>
    <t xml:space="preserve">Редакция 4
(от 28.12.24) </t>
  </si>
  <si>
    <t>Снижена стоимость на клипсы для крепления плинтуса</t>
  </si>
</sst>
</file>

<file path=xl/styles.xml><?xml version="1.0" encoding="utf-8"?>
<styleSheet xmlns="http://schemas.openxmlformats.org/spreadsheetml/2006/main">
  <numFmts count="19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\-#,##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\ _₽"/>
    <numFmt numFmtId="168" formatCode="#,##0_ ;\-#,##0\ "/>
    <numFmt numFmtId="169" formatCode="_-* #,##0_р_._-;\-* #,##0_р_._-;_-* &quot;-&quot;??_р_._-;_-@_-"/>
    <numFmt numFmtId="170" formatCode="_-* #,##0&quot;р.&quot;_-;\-* #,##0&quot;р.&quot;_-;_-* &quot;-&quot;??&quot;р.&quot;_-;_-@_-"/>
    <numFmt numFmtId="171" formatCode="_-* #,##0\ _₽_-;\-* #,##0\ _₽_-;_-* &quot;-&quot;??\ _₽_-;_-@_-"/>
    <numFmt numFmtId="172" formatCode="_-* #,##0.000\ _₽_-;\-* #,##0.000\ _₽_-;_-* &quot;-&quot;\ _₽_-;_-@_-"/>
    <numFmt numFmtId="173" formatCode="_-* #,##0[$р.-419]_-;\-* #,##0[$р.-419]_-;_-* &quot;-&quot;??[$р.-419]_-;_-@_-"/>
    <numFmt numFmtId="174" formatCode="_-* #,##0\ &quot;₽&quot;_-;\-* #,##0\ &quot;₽&quot;_-;_-* &quot;-&quot;??\ &quot;₽&quot;_-;_-@_-"/>
    <numFmt numFmtId="175" formatCode="[$-F800]dddd\,\ mmmm\ dd\,\ yyyy"/>
    <numFmt numFmtId="176" formatCode="0.0"/>
    <numFmt numFmtId="177" formatCode="_-* #,##0.0&quot;р.&quot;_-;\-* #,##0.0&quot;р.&quot;_-;_-* &quot;-&quot;?&quot;р.&quot;_-;_-@_-"/>
    <numFmt numFmtId="178" formatCode="#,##0\ &quot;₽&quot;"/>
    <numFmt numFmtId="179" formatCode="0.0%"/>
  </numFmts>
  <fonts count="23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  <font>
      <sz val="10"/>
      <name val="Arial Cyr"/>
    </font>
    <font>
      <b/>
      <i/>
      <sz val="1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9"/>
      <color theme="0" tint="-0.499984740745262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18"/>
      <name val="Arial Cyr"/>
      <charset val="204"/>
    </font>
    <font>
      <sz val="10"/>
      <color rgb="FFFF0000"/>
      <name val="Arial Cyr"/>
    </font>
    <font>
      <sz val="10"/>
      <color theme="3" tint="0.39997558519241921"/>
      <name val="Arial Cyr"/>
    </font>
    <font>
      <b/>
      <i/>
      <sz val="10"/>
      <name val="Arial Cyr"/>
      <charset val="204"/>
    </font>
    <font>
      <sz val="10"/>
      <name val="Times New Roman"/>
      <family val="1"/>
      <charset val="204"/>
    </font>
    <font>
      <sz val="10"/>
      <color rgb="FF7030A0"/>
      <name val="Arial Cyr"/>
    </font>
    <font>
      <b/>
      <sz val="2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vertAlign val="superscript"/>
      <sz val="10"/>
      <color theme="1"/>
      <name val="Calibri"/>
      <family val="2"/>
      <charset val="204"/>
      <scheme val="minor"/>
    </font>
    <font>
      <sz val="8"/>
      <color rgb="FF00B050"/>
      <name val="Arial Cyr"/>
    </font>
    <font>
      <b/>
      <sz val="16"/>
      <color theme="1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u/>
      <sz val="10"/>
      <color theme="10"/>
      <name val="Arial Cyr"/>
    </font>
    <font>
      <sz val="16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9"/>
      <color theme="1" tint="4.9989318521683403E-2"/>
      <name val="Calibri"/>
      <family val="2"/>
      <charset val="204"/>
      <scheme val="minor"/>
    </font>
    <font>
      <sz val="8"/>
      <name val="Arial Cyr"/>
    </font>
    <font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9"/>
      <name val="Arial Cyr"/>
    </font>
    <font>
      <i/>
      <sz val="8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u/>
      <sz val="11"/>
      <color theme="10"/>
      <name val="Calibri"/>
      <family val="2"/>
      <charset val="204"/>
    </font>
    <font>
      <b/>
      <u/>
      <sz val="14"/>
      <color theme="6" tint="-0.249977111117893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2"/>
      <name val="Calibri"/>
      <family val="2"/>
      <charset val="204"/>
      <scheme val="minor"/>
    </font>
    <font>
      <b/>
      <sz val="10"/>
      <name val="Arial Cyr"/>
    </font>
    <font>
      <sz val="10"/>
      <color theme="1"/>
      <name val="Calibri"/>
      <family val="2"/>
      <scheme val="minor"/>
    </font>
    <font>
      <i/>
      <sz val="10"/>
      <name val="Arial Cyr"/>
    </font>
    <font>
      <sz val="18"/>
      <color theme="1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b/>
      <u/>
      <sz val="12"/>
      <color theme="6" tint="-0.249977111117893"/>
      <name val="Calibri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color theme="6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10"/>
      <color theme="0" tint="-0.499984740745262"/>
      <name val="Calibri"/>
      <family val="2"/>
      <charset val="204"/>
      <scheme val="minor"/>
    </font>
    <font>
      <i/>
      <sz val="8"/>
      <color theme="0" tint="-0.499984740745262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u/>
      <sz val="10"/>
      <name val="Arial Cyr"/>
      <charset val="204"/>
    </font>
    <font>
      <sz val="9"/>
      <color theme="0" tint="-0.499984740745262"/>
      <name val="Calibri"/>
      <family val="2"/>
      <charset val="204"/>
      <scheme val="minor"/>
    </font>
    <font>
      <sz val="10"/>
      <color theme="6" tint="-0.249977111117893"/>
      <name val="Calibri"/>
      <family val="2"/>
      <charset val="204"/>
      <scheme val="minor"/>
    </font>
    <font>
      <i/>
      <sz val="9"/>
      <color theme="0" tint="-0.34998626667073579"/>
      <name val="Calibri"/>
      <family val="2"/>
      <charset val="204"/>
      <scheme val="minor"/>
    </font>
    <font>
      <i/>
      <sz val="10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i/>
      <sz val="11"/>
      <color theme="0" tint="-0.249977111117893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vertAlign val="superscript"/>
      <sz val="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u/>
      <sz val="9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b/>
      <sz val="11"/>
      <color theme="0" tint="-0.249977111117893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b/>
      <vertAlign val="superscript"/>
      <sz val="11"/>
      <name val="Calibri"/>
      <family val="2"/>
      <charset val="204"/>
      <scheme val="minor"/>
    </font>
    <font>
      <sz val="8"/>
      <name val="Arial"/>
      <family val="2"/>
      <charset val="1"/>
    </font>
    <font>
      <u/>
      <sz val="8"/>
      <color indexed="12"/>
      <name val="Arial"/>
      <family val="2"/>
      <charset val="1"/>
    </font>
    <font>
      <sz val="8"/>
      <color theme="1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name val="Calibri"/>
      <family val="2"/>
      <charset val="204"/>
    </font>
    <font>
      <sz val="10"/>
      <name val="Arial"/>
      <family val="2"/>
    </font>
    <font>
      <b/>
      <sz val="8"/>
      <name val="Times New Roman"/>
      <family val="1"/>
      <charset val="204"/>
    </font>
    <font>
      <b/>
      <sz val="9"/>
      <name val="Arial Cyr"/>
    </font>
    <font>
      <b/>
      <u/>
      <sz val="12"/>
      <name val="Calibri"/>
      <family val="2"/>
      <charset val="204"/>
      <scheme val="minor"/>
    </font>
    <font>
      <b/>
      <i/>
      <sz val="18"/>
      <color rgb="FFFF0000"/>
      <name val="Calibri"/>
      <family val="2"/>
      <charset val="204"/>
      <scheme val="minor"/>
    </font>
    <font>
      <sz val="8"/>
      <color rgb="FF000000"/>
      <name val="Montserrat"/>
      <family val="3"/>
    </font>
    <font>
      <sz val="9"/>
      <color rgb="FF000000"/>
      <name val="Montserrat"/>
      <family val="3"/>
    </font>
    <font>
      <b/>
      <sz val="11"/>
      <color theme="6" tint="-0.249977111117893"/>
      <name val="Calibri"/>
      <family val="2"/>
      <charset val="204"/>
      <scheme val="minor"/>
    </font>
    <font>
      <b/>
      <u/>
      <sz val="14"/>
      <name val="Calibri"/>
      <family val="2"/>
      <charset val="204"/>
    </font>
    <font>
      <sz val="12"/>
      <color theme="6" tint="0.7999816888943144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sz val="10"/>
      <color theme="1"/>
      <name val="Arial Cyr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theme="1"/>
      <name val="Arial Cyr"/>
      <charset val="204"/>
    </font>
    <font>
      <b/>
      <sz val="24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</font>
    <font>
      <b/>
      <u/>
      <sz val="11"/>
      <name val="Calibri"/>
      <family val="2"/>
      <charset val="204"/>
    </font>
    <font>
      <sz val="11"/>
      <name val="Calibri"/>
      <family val="2"/>
      <scheme val="minor"/>
    </font>
    <font>
      <b/>
      <u/>
      <sz val="11"/>
      <name val="Calibri"/>
      <family val="2"/>
    </font>
    <font>
      <vertAlign val="superscript"/>
      <sz val="11"/>
      <name val="Calibri"/>
      <family val="2"/>
      <charset val="204"/>
      <scheme val="minor"/>
    </font>
    <font>
      <vertAlign val="superscript"/>
      <sz val="10"/>
      <name val="Calibri"/>
      <family val="2"/>
      <charset val="204"/>
      <scheme val="minor"/>
    </font>
    <font>
      <b/>
      <sz val="20"/>
      <color theme="2" tint="-0.249977111117893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b/>
      <sz val="10"/>
      <name val="Arial Cyr"/>
      <charset val="204"/>
    </font>
    <font>
      <b/>
      <sz val="14"/>
      <color theme="3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sz val="8"/>
      <color theme="5"/>
      <name val="Montserrat"/>
      <family val="3"/>
    </font>
    <font>
      <b/>
      <sz val="11"/>
      <color theme="0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u/>
      <sz val="20"/>
      <color theme="1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u/>
      <sz val="10"/>
      <color theme="10"/>
      <name val="Calibri"/>
      <family val="2"/>
      <charset val="204"/>
    </font>
    <font>
      <sz val="11"/>
      <color rgb="FF00B0F0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vertAlign val="superscript"/>
      <sz val="8"/>
      <color theme="1"/>
      <name val="Calibri"/>
      <family val="2"/>
      <charset val="204"/>
      <scheme val="minor"/>
    </font>
    <font>
      <sz val="20"/>
      <name val="Calibri"/>
      <family val="2"/>
      <charset val="204"/>
    </font>
    <font>
      <b/>
      <sz val="20"/>
      <name val="Calibri"/>
      <family val="2"/>
      <charset val="204"/>
    </font>
    <font>
      <sz val="8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20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sz val="8"/>
      <color rgb="FFFF0000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i/>
      <sz val="16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8"/>
      <color theme="0" tint="-0.499984740745262"/>
      <name val="Times New Roman"/>
      <family val="1"/>
      <charset val="204"/>
    </font>
    <font>
      <sz val="9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</fills>
  <borders count="2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auto="1"/>
      </top>
      <bottom style="dotted">
        <color indexed="64"/>
      </bottom>
      <diagonal/>
    </border>
    <border>
      <left/>
      <right style="thin">
        <color auto="1"/>
      </right>
      <top style="dotted">
        <color auto="1"/>
      </top>
      <bottom style="dotted">
        <color indexed="64"/>
      </bottom>
      <diagonal/>
    </border>
    <border>
      <left/>
      <right/>
      <top style="dotted">
        <color auto="1"/>
      </top>
      <bottom style="dotted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dotted">
        <color auto="1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 style="thin">
        <color auto="1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tted">
        <color auto="1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/>
      <bottom/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dotted">
        <color auto="1"/>
      </top>
      <bottom style="double">
        <color indexed="64"/>
      </bottom>
      <diagonal/>
    </border>
    <border>
      <left/>
      <right style="thin">
        <color auto="1"/>
      </right>
      <top style="dotted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327">
    <xf numFmtId="0" fontId="0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1" fillId="0" borderId="0"/>
    <xf numFmtId="0" fontId="6" fillId="0" borderId="0"/>
    <xf numFmtId="0" fontId="62" fillId="0" borderId="0"/>
    <xf numFmtId="9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" fillId="0" borderId="0"/>
    <xf numFmtId="0" fontId="2" fillId="0" borderId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87" fillId="19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87" fillId="22" borderId="0" applyNumberFormat="0" applyBorder="0" applyAlignment="0" applyProtection="0"/>
    <xf numFmtId="0" fontId="87" fillId="23" borderId="0" applyNumberFormat="0" applyBorder="0" applyAlignment="0" applyProtection="0"/>
    <xf numFmtId="0" fontId="87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16" borderId="0" applyNumberFormat="0" applyBorder="0" applyAlignment="0" applyProtection="0"/>
    <xf numFmtId="0" fontId="36" fillId="25" borderId="0" applyNumberFormat="0" applyBorder="0" applyAlignment="0" applyProtection="0"/>
    <xf numFmtId="0" fontId="36" fillId="28" borderId="0" applyNumberFormat="0" applyBorder="0" applyAlignment="0" applyProtection="0"/>
    <xf numFmtId="0" fontId="87" fillId="29" borderId="0" applyNumberFormat="0" applyBorder="0" applyAlignment="0" applyProtection="0"/>
    <xf numFmtId="0" fontId="87" fillId="30" borderId="0" applyNumberFormat="0" applyBorder="0" applyAlignment="0" applyProtection="0"/>
    <xf numFmtId="0" fontId="87" fillId="31" borderId="0" applyNumberFormat="0" applyBorder="0" applyAlignment="0" applyProtection="0"/>
    <xf numFmtId="0" fontId="87" fillId="22" borderId="0" applyNumberFormat="0" applyBorder="0" applyAlignment="0" applyProtection="0"/>
    <xf numFmtId="0" fontId="87" fillId="29" borderId="0" applyNumberFormat="0" applyBorder="0" applyAlignment="0" applyProtection="0"/>
    <xf numFmtId="0" fontId="87" fillId="32" borderId="0" applyNumberFormat="0" applyBorder="0" applyAlignment="0" applyProtection="0"/>
    <xf numFmtId="0" fontId="88" fillId="33" borderId="0" applyNumberFormat="0" applyBorder="0" applyAlignment="0" applyProtection="0"/>
    <xf numFmtId="0" fontId="88" fillId="26" borderId="0" applyNumberFormat="0" applyBorder="0" applyAlignment="0" applyProtection="0"/>
    <xf numFmtId="0" fontId="88" fillId="27" borderId="0" applyNumberFormat="0" applyBorder="0" applyAlignment="0" applyProtection="0"/>
    <xf numFmtId="0" fontId="88" fillId="34" borderId="0" applyNumberFormat="0" applyBorder="0" applyAlignment="0" applyProtection="0"/>
    <xf numFmtId="0" fontId="88" fillId="35" borderId="0" applyNumberFormat="0" applyBorder="0" applyAlignment="0" applyProtection="0"/>
    <xf numFmtId="0" fontId="88" fillId="36" borderId="0" applyNumberFormat="0" applyBorder="0" applyAlignment="0" applyProtection="0"/>
    <xf numFmtId="0" fontId="89" fillId="37" borderId="0" applyNumberFormat="0" applyBorder="0" applyAlignment="0" applyProtection="0"/>
    <xf numFmtId="0" fontId="89" fillId="30" borderId="0" applyNumberFormat="0" applyBorder="0" applyAlignment="0" applyProtection="0"/>
    <xf numFmtId="0" fontId="89" fillId="31" borderId="0" applyNumberFormat="0" applyBorder="0" applyAlignment="0" applyProtection="0"/>
    <xf numFmtId="0" fontId="89" fillId="38" borderId="0" applyNumberFormat="0" applyBorder="0" applyAlignment="0" applyProtection="0"/>
    <xf numFmtId="0" fontId="89" fillId="39" borderId="0" applyNumberFormat="0" applyBorder="0" applyAlignment="0" applyProtection="0"/>
    <xf numFmtId="0" fontId="89" fillId="40" borderId="0" applyNumberFormat="0" applyBorder="0" applyAlignment="0" applyProtection="0"/>
    <xf numFmtId="0" fontId="88" fillId="41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34" borderId="0" applyNumberFormat="0" applyBorder="0" applyAlignment="0" applyProtection="0"/>
    <xf numFmtId="0" fontId="88" fillId="35" borderId="0" applyNumberFormat="0" applyBorder="0" applyAlignment="0" applyProtection="0"/>
    <xf numFmtId="0" fontId="88" fillId="44" borderId="0" applyNumberFormat="0" applyBorder="0" applyAlignment="0" applyProtection="0"/>
    <xf numFmtId="0" fontId="90" fillId="14" borderId="0" applyNumberFormat="0" applyBorder="0" applyAlignment="0" applyProtection="0"/>
    <xf numFmtId="0" fontId="91" fillId="45" borderId="47" applyNumberFormat="0" applyAlignment="0" applyProtection="0"/>
    <xf numFmtId="0" fontId="92" fillId="46" borderId="48" applyNumberFormat="0" applyAlignment="0" applyProtection="0"/>
    <xf numFmtId="0" fontId="93" fillId="0" borderId="0" applyNumberFormat="0" applyFill="0" applyBorder="0" applyAlignment="0" applyProtection="0"/>
    <xf numFmtId="0" fontId="94" fillId="15" borderId="0" applyNumberFormat="0" applyBorder="0" applyAlignment="0" applyProtection="0"/>
    <xf numFmtId="0" fontId="95" fillId="0" borderId="49" applyNumberFormat="0" applyFill="0" applyAlignment="0" applyProtection="0"/>
    <xf numFmtId="0" fontId="96" fillId="0" borderId="50" applyNumberFormat="0" applyFill="0" applyAlignment="0" applyProtection="0"/>
    <xf numFmtId="0" fontId="97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18" borderId="47" applyNumberFormat="0" applyAlignment="0" applyProtection="0"/>
    <xf numFmtId="0" fontId="99" fillId="0" borderId="52" applyNumberFormat="0" applyFill="0" applyAlignment="0" applyProtection="0"/>
    <xf numFmtId="0" fontId="100" fillId="47" borderId="0" applyNumberFormat="0" applyBorder="0" applyAlignment="0" applyProtection="0"/>
    <xf numFmtId="0" fontId="101" fillId="48" borderId="53" applyNumberFormat="0" applyFont="0" applyAlignment="0" applyProtection="0"/>
    <xf numFmtId="0" fontId="102" fillId="45" borderId="54" applyNumberFormat="0" applyAlignment="0" applyProtection="0"/>
    <xf numFmtId="0" fontId="103" fillId="0" borderId="0" applyNumberFormat="0" applyFill="0" applyBorder="0" applyAlignment="0" applyProtection="0"/>
    <xf numFmtId="0" fontId="104" fillId="0" borderId="55" applyNumberFormat="0" applyFill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4" fillId="0" borderId="0"/>
    <xf numFmtId="0" fontId="108" fillId="0" borderId="0"/>
    <xf numFmtId="0" fontId="109" fillId="21" borderId="0" applyNumberFormat="0" applyBorder="0" applyAlignment="0" applyProtection="0"/>
    <xf numFmtId="0" fontId="109" fillId="15" borderId="0" applyNumberFormat="0" applyBorder="0" applyAlignment="0" applyProtection="0">
      <alignment vertical="center"/>
    </xf>
    <xf numFmtId="0" fontId="109" fillId="15" borderId="0" applyNumberFormat="0" applyBorder="0" applyAlignment="0" applyProtection="0">
      <alignment vertical="center"/>
    </xf>
    <xf numFmtId="0" fontId="110" fillId="20" borderId="0" applyNumberFormat="0" applyBorder="0" applyAlignment="0" applyProtection="0"/>
    <xf numFmtId="0" fontId="110" fillId="14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01" fillId="0" borderId="0">
      <alignment vertical="center"/>
    </xf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38" borderId="0" applyNumberFormat="0" applyBorder="0" applyAlignment="0" applyProtection="0"/>
    <xf numFmtId="0" fontId="89" fillId="39" borderId="0" applyNumberFormat="0" applyBorder="0" applyAlignment="0" applyProtection="0"/>
    <xf numFmtId="0" fontId="89" fillId="52" borderId="0" applyNumberFormat="0" applyBorder="0" applyAlignment="0" applyProtection="0"/>
    <xf numFmtId="0" fontId="111" fillId="0" borderId="0" applyNumberFormat="0" applyFill="0" applyBorder="0" applyAlignment="0" applyProtection="0"/>
    <xf numFmtId="0" fontId="112" fillId="0" borderId="49" applyNumberFormat="0" applyFill="0" applyAlignment="0" applyProtection="0"/>
    <xf numFmtId="0" fontId="113" fillId="0" borderId="50" applyNumberFormat="0" applyFill="0" applyAlignment="0" applyProtection="0"/>
    <xf numFmtId="0" fontId="114" fillId="0" borderId="51" applyNumberFormat="0" applyFill="0" applyAlignment="0" applyProtection="0"/>
    <xf numFmtId="0" fontId="114" fillId="0" borderId="0" applyNumberFormat="0" applyFill="0" applyBorder="0" applyAlignment="0" applyProtection="0"/>
    <xf numFmtId="0" fontId="115" fillId="53" borderId="48" applyNumberFormat="0" applyAlignment="0" applyProtection="0"/>
    <xf numFmtId="0" fontId="116" fillId="0" borderId="55" applyNumberFormat="0" applyFill="0" applyAlignment="0" applyProtection="0"/>
    <xf numFmtId="0" fontId="101" fillId="54" borderId="53" applyNumberFormat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55" borderId="47" applyNumberFormat="0" applyAlignment="0" applyProtection="0"/>
    <xf numFmtId="0" fontId="120" fillId="24" borderId="47" applyNumberFormat="0" applyAlignment="0" applyProtection="0"/>
    <xf numFmtId="0" fontId="121" fillId="55" borderId="54" applyNumberFormat="0" applyAlignment="0" applyProtection="0"/>
    <xf numFmtId="0" fontId="122" fillId="56" borderId="0" applyNumberFormat="0" applyBorder="0" applyAlignment="0" applyProtection="0"/>
    <xf numFmtId="0" fontId="123" fillId="0" borderId="52" applyNumberFormat="0" applyFill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" fillId="0" borderId="0"/>
    <xf numFmtId="165" fontId="62" fillId="0" borderId="0" applyFont="0" applyFill="0" applyBorder="0" applyAlignment="0" applyProtection="0"/>
    <xf numFmtId="0" fontId="162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164" fillId="0" borderId="0"/>
    <xf numFmtId="0" fontId="5" fillId="0" borderId="0"/>
    <xf numFmtId="0" fontId="166" fillId="0" borderId="0"/>
    <xf numFmtId="0" fontId="167" fillId="0" borderId="0" applyNumberFormat="0" applyFill="0" applyBorder="0" applyAlignment="0" applyProtection="0"/>
    <xf numFmtId="165" fontId="16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0" fillId="0" borderId="0"/>
    <xf numFmtId="0" fontId="170" fillId="0" borderId="0"/>
    <xf numFmtId="0" fontId="170" fillId="0" borderId="0"/>
    <xf numFmtId="0" fontId="172" fillId="0" borderId="0"/>
    <xf numFmtId="0" fontId="91" fillId="45" borderId="127" applyNumberFormat="0" applyAlignment="0" applyProtection="0"/>
    <xf numFmtId="0" fontId="91" fillId="45" borderId="127" applyNumberFormat="0" applyAlignment="0" applyProtection="0"/>
    <xf numFmtId="0" fontId="91" fillId="45" borderId="127" applyNumberFormat="0" applyAlignment="0" applyProtection="0"/>
    <xf numFmtId="0" fontId="98" fillId="18" borderId="127" applyNumberFormat="0" applyAlignment="0" applyProtection="0"/>
    <xf numFmtId="0" fontId="98" fillId="18" borderId="127" applyNumberFormat="0" applyAlignment="0" applyProtection="0"/>
    <xf numFmtId="0" fontId="98" fillId="18" borderId="127" applyNumberFormat="0" applyAlignment="0" applyProtection="0"/>
    <xf numFmtId="0" fontId="101" fillId="48" borderId="128" applyNumberFormat="0" applyFont="0" applyAlignment="0" applyProtection="0"/>
    <xf numFmtId="0" fontId="101" fillId="48" borderId="128" applyNumberFormat="0" applyFont="0" applyAlignment="0" applyProtection="0"/>
    <xf numFmtId="0" fontId="101" fillId="48" borderId="128" applyNumberFormat="0" applyFont="0" applyAlignment="0" applyProtection="0"/>
    <xf numFmtId="0" fontId="102" fillId="45" borderId="129" applyNumberFormat="0" applyAlignment="0" applyProtection="0"/>
    <xf numFmtId="0" fontId="102" fillId="45" borderId="129" applyNumberFormat="0" applyAlignment="0" applyProtection="0"/>
    <xf numFmtId="0" fontId="104" fillId="0" borderId="130" applyNumberFormat="0" applyFill="0" applyAlignment="0" applyProtection="0"/>
    <xf numFmtId="0" fontId="104" fillId="0" borderId="130" applyNumberFormat="0" applyFill="0" applyAlignment="0" applyProtection="0"/>
    <xf numFmtId="0" fontId="5" fillId="0" borderId="0"/>
    <xf numFmtId="0" fontId="116" fillId="0" borderId="130" applyNumberFormat="0" applyFill="0" applyAlignment="0" applyProtection="0"/>
    <xf numFmtId="0" fontId="116" fillId="0" borderId="130" applyNumberFormat="0" applyFill="0" applyAlignment="0" applyProtection="0"/>
    <xf numFmtId="0" fontId="101" fillId="54" borderId="128" applyNumberFormat="0" applyAlignment="0" applyProtection="0"/>
    <xf numFmtId="0" fontId="101" fillId="54" borderId="128" applyNumberFormat="0" applyAlignment="0" applyProtection="0"/>
    <xf numFmtId="0" fontId="101" fillId="54" borderId="128" applyNumberFormat="0" applyAlignment="0" applyProtection="0"/>
    <xf numFmtId="0" fontId="119" fillId="55" borderId="127" applyNumberFormat="0" applyAlignment="0" applyProtection="0"/>
    <xf numFmtId="0" fontId="119" fillId="55" borderId="127" applyNumberFormat="0" applyAlignment="0" applyProtection="0"/>
    <xf numFmtId="0" fontId="119" fillId="55" borderId="127" applyNumberFormat="0" applyAlignment="0" applyProtection="0"/>
    <xf numFmtId="0" fontId="120" fillId="24" borderId="127" applyNumberFormat="0" applyAlignment="0" applyProtection="0"/>
    <xf numFmtId="0" fontId="120" fillId="24" borderId="127" applyNumberFormat="0" applyAlignment="0" applyProtection="0"/>
    <xf numFmtId="0" fontId="120" fillId="24" borderId="127" applyNumberFormat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</cellStyleXfs>
  <cellXfs count="3816">
    <xf numFmtId="0" fontId="0" fillId="0" borderId="0" xfId="0"/>
    <xf numFmtId="0" fontId="8" fillId="0" borderId="0" xfId="0" applyFont="1"/>
    <xf numFmtId="0" fontId="0" fillId="0" borderId="0" xfId="0" applyAlignment="1">
      <alignment horizontal="left"/>
    </xf>
    <xf numFmtId="0" fontId="0" fillId="0" borderId="2" xfId="0" applyFont="1" applyBorder="1"/>
    <xf numFmtId="0" fontId="19" fillId="0" borderId="0" xfId="1" applyFont="1" applyAlignment="1" applyProtection="1">
      <alignment horizontal="left"/>
      <protection hidden="1"/>
    </xf>
    <xf numFmtId="0" fontId="0" fillId="0" borderId="0" xfId="0" applyFont="1" applyAlignment="1">
      <alignment horizontal="left" indent="2"/>
    </xf>
    <xf numFmtId="0" fontId="0" fillId="0" borderId="0" xfId="0" applyFont="1" applyAlignment="1">
      <alignment horizontal="left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3" borderId="0" xfId="0" applyFont="1" applyFill="1"/>
    <xf numFmtId="0" fontId="0" fillId="0" borderId="0" xfId="0" applyAlignment="1"/>
    <xf numFmtId="0" fontId="11" fillId="0" borderId="0" xfId="0" applyFont="1"/>
    <xf numFmtId="0" fontId="0" fillId="0" borderId="0" xfId="0" applyAlignment="1">
      <alignment horizontal="center"/>
    </xf>
    <xf numFmtId="0" fontId="0" fillId="0" borderId="0" xfId="0" applyFont="1" applyBorder="1"/>
    <xf numFmtId="0" fontId="12" fillId="0" borderId="0" xfId="0" applyFont="1"/>
    <xf numFmtId="0" fontId="12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/>
    <xf numFmtId="0" fontId="7" fillId="0" borderId="0" xfId="0" applyFont="1"/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19" fillId="0" borderId="0" xfId="1" applyFont="1" applyAlignment="1" applyProtection="1">
      <alignment horizontal="center"/>
      <protection hidden="1"/>
    </xf>
    <xf numFmtId="3" fontId="0" fillId="0" borderId="0" xfId="0" applyNumberFormat="1"/>
    <xf numFmtId="0" fontId="16" fillId="0" borderId="0" xfId="0" applyFont="1" applyBorder="1" applyAlignment="1">
      <alignment horizontal="center" vertical="center" wrapText="1"/>
    </xf>
    <xf numFmtId="167" fontId="15" fillId="0" borderId="0" xfId="0" applyNumberFormat="1" applyFont="1" applyFill="1" applyBorder="1" applyAlignment="1">
      <alignment horizontal="center" vertical="center"/>
    </xf>
    <xf numFmtId="0" fontId="16" fillId="0" borderId="0" xfId="6" applyFont="1" applyFill="1" applyBorder="1" applyAlignment="1">
      <alignment horizontal="left" vertical="center"/>
    </xf>
    <xf numFmtId="0" fontId="16" fillId="0" borderId="0" xfId="6" applyFont="1" applyFill="1"/>
    <xf numFmtId="0" fontId="0" fillId="0" borderId="0" xfId="0" applyAlignment="1">
      <alignment wrapText="1"/>
    </xf>
    <xf numFmtId="0" fontId="5" fillId="0" borderId="0" xfId="6"/>
    <xf numFmtId="0" fontId="16" fillId="0" borderId="0" xfId="0" applyFont="1" applyBorder="1" applyAlignment="1">
      <alignment horizontal="left" vertical="center" wrapText="1" indent="1"/>
    </xf>
    <xf numFmtId="167" fontId="1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5" fillId="0" borderId="0" xfId="6" applyFont="1" applyFill="1" applyBorder="1" applyAlignment="1">
      <alignment horizontal="left" vertical="center"/>
    </xf>
    <xf numFmtId="0" fontId="25" fillId="0" borderId="0" xfId="6" applyFont="1" applyFill="1" applyAlignment="1">
      <alignment vertical="center"/>
    </xf>
    <xf numFmtId="0" fontId="16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left" vertical="top" wrapText="1" indent="5"/>
    </xf>
    <xf numFmtId="0" fontId="8" fillId="0" borderId="0" xfId="0" applyFont="1" applyBorder="1" applyAlignment="1">
      <alignment vertical="center"/>
    </xf>
    <xf numFmtId="0" fontId="16" fillId="6" borderId="9" xfId="0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left" vertical="center"/>
    </xf>
    <xf numFmtId="0" fontId="11" fillId="0" borderId="0" xfId="0" applyFont="1" applyBorder="1" applyAlignment="1">
      <alignment vertical="top" wrapText="1"/>
    </xf>
    <xf numFmtId="0" fontId="16" fillId="3" borderId="9" xfId="0" applyFont="1" applyFill="1" applyBorder="1" applyAlignment="1">
      <alignment horizontal="left" vertical="center" wrapText="1" indent="1"/>
    </xf>
    <xf numFmtId="0" fontId="7" fillId="3" borderId="5" xfId="0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0" fontId="8" fillId="3" borderId="0" xfId="0" applyFont="1" applyFill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left" indent="5"/>
    </xf>
    <xf numFmtId="0" fontId="12" fillId="0" borderId="5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11" fillId="0" borderId="2" xfId="0" applyFont="1" applyBorder="1"/>
    <xf numFmtId="0" fontId="11" fillId="3" borderId="0" xfId="0" applyFont="1" applyFill="1"/>
    <xf numFmtId="0" fontId="0" fillId="3" borderId="0" xfId="0" applyFill="1"/>
    <xf numFmtId="0" fontId="25" fillId="0" borderId="0" xfId="6" applyFont="1" applyFill="1" applyAlignment="1">
      <alignment horizontal="left" vertical="center" wrapText="1"/>
    </xf>
    <xf numFmtId="0" fontId="29" fillId="0" borderId="0" xfId="6" applyFont="1" applyFill="1" applyAlignment="1">
      <alignment vertical="center"/>
    </xf>
    <xf numFmtId="0" fontId="0" fillId="0" borderId="0" xfId="0" applyFont="1" applyFill="1"/>
    <xf numFmtId="0" fontId="0" fillId="0" borderId="0" xfId="0" applyFill="1"/>
    <xf numFmtId="0" fontId="11" fillId="0" borderId="0" xfId="0" applyFont="1" applyFill="1"/>
    <xf numFmtId="0" fontId="40" fillId="0" borderId="0" xfId="0" applyFont="1" applyAlignment="1">
      <alignment horizontal="center" vertical="center"/>
    </xf>
    <xf numFmtId="0" fontId="21" fillId="3" borderId="0" xfId="0" applyFont="1" applyFill="1"/>
    <xf numFmtId="0" fontId="23" fillId="0" borderId="0" xfId="0" applyFont="1"/>
    <xf numFmtId="0" fontId="3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42" fillId="0" borderId="0" xfId="46" applyFont="1"/>
    <xf numFmtId="0" fontId="42" fillId="0" borderId="0" xfId="46" applyFont="1" applyAlignment="1"/>
    <xf numFmtId="0" fontId="42" fillId="0" borderId="0" xfId="46" applyFont="1" applyAlignment="1">
      <alignment wrapText="1"/>
    </xf>
    <xf numFmtId="0" fontId="15" fillId="0" borderId="0" xfId="46" applyFont="1"/>
    <xf numFmtId="0" fontId="37" fillId="0" borderId="0" xfId="46" applyFont="1"/>
    <xf numFmtId="0" fontId="41" fillId="0" borderId="0" xfId="46"/>
    <xf numFmtId="0" fontId="41" fillId="4" borderId="0" xfId="46" applyFill="1"/>
    <xf numFmtId="0" fontId="41" fillId="0" borderId="0" xfId="46" applyAlignment="1">
      <alignment horizontal="center" vertical="center" wrapText="1"/>
    </xf>
    <xf numFmtId="0" fontId="49" fillId="0" borderId="0" xfId="46" applyFont="1"/>
    <xf numFmtId="0" fontId="41" fillId="0" borderId="0" xfId="46" applyFill="1"/>
    <xf numFmtId="0" fontId="52" fillId="0" borderId="0" xfId="46" applyFont="1" applyFill="1"/>
    <xf numFmtId="0" fontId="41" fillId="0" borderId="0" xfId="46" applyFill="1" applyBorder="1"/>
    <xf numFmtId="0" fontId="53" fillId="0" borderId="0" xfId="1" applyFont="1" applyAlignment="1" applyProtection="1">
      <protection hidden="1"/>
    </xf>
    <xf numFmtId="0" fontId="54" fillId="0" borderId="0" xfId="1" applyFont="1" applyAlignment="1" applyProtection="1">
      <protection hidden="1"/>
    </xf>
    <xf numFmtId="0" fontId="56" fillId="0" borderId="0" xfId="46" applyFont="1" applyBorder="1" applyAlignment="1">
      <alignment horizontal="left" vertical="center" wrapText="1"/>
    </xf>
    <xf numFmtId="0" fontId="47" fillId="0" borderId="0" xfId="46" applyFont="1"/>
    <xf numFmtId="0" fontId="7" fillId="0" borderId="0" xfId="46" applyFont="1"/>
    <xf numFmtId="0" fontId="50" fillId="0" borderId="0" xfId="46" applyFont="1"/>
    <xf numFmtId="0" fontId="41" fillId="0" borderId="0" xfId="46" applyAlignment="1">
      <alignment vertical="center"/>
    </xf>
    <xf numFmtId="0" fontId="41" fillId="0" borderId="0" xfId="46" applyAlignment="1"/>
    <xf numFmtId="0" fontId="41" fillId="0" borderId="0" xfId="46" applyFill="1" applyBorder="1" applyAlignment="1">
      <alignment horizontal="center"/>
    </xf>
    <xf numFmtId="0" fontId="11" fillId="0" borderId="0" xfId="46" applyFont="1" applyFill="1" applyBorder="1" applyAlignment="1">
      <alignment horizontal="center"/>
    </xf>
    <xf numFmtId="0" fontId="41" fillId="0" borderId="0" xfId="46" applyBorder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47" fillId="0" borderId="0" xfId="46" applyFont="1" applyAlignment="1">
      <alignment horizontal="left" wrapText="1"/>
    </xf>
    <xf numFmtId="0" fontId="15" fillId="0" borderId="0" xfId="46" applyFont="1" applyFill="1"/>
    <xf numFmtId="0" fontId="15" fillId="0" borderId="0" xfId="46" applyFont="1" applyFill="1" applyBorder="1"/>
    <xf numFmtId="0" fontId="61" fillId="0" borderId="0" xfId="46" applyFont="1"/>
    <xf numFmtId="0" fontId="15" fillId="0" borderId="0" xfId="46" applyFont="1" applyFill="1" applyBorder="1" applyAlignment="1">
      <alignment horizontal="center"/>
    </xf>
    <xf numFmtId="0" fontId="15" fillId="0" borderId="0" xfId="46" applyFont="1" applyAlignment="1">
      <alignment vertical="center"/>
    </xf>
    <xf numFmtId="0" fontId="42" fillId="0" borderId="0" xfId="46" applyFont="1" applyAlignment="1">
      <alignment horizontal="left" wrapText="1"/>
    </xf>
    <xf numFmtId="0" fontId="6" fillId="0" borderId="0" xfId="17" applyAlignment="1">
      <alignment horizontal="left" vertical="center" indent="1"/>
    </xf>
    <xf numFmtId="0" fontId="11" fillId="0" borderId="4" xfId="17" applyFont="1" applyBorder="1" applyAlignment="1">
      <alignment horizontal="left" vertical="center" indent="1"/>
    </xf>
    <xf numFmtId="0" fontId="16" fillId="0" borderId="0" xfId="17" applyFont="1" applyAlignment="1">
      <alignment horizontal="left" vertical="center" indent="1"/>
    </xf>
    <xf numFmtId="0" fontId="12" fillId="0" borderId="0" xfId="17" applyFont="1" applyAlignment="1">
      <alignment horizontal="left" vertical="center" wrapText="1" indent="1"/>
    </xf>
    <xf numFmtId="0" fontId="6" fillId="0" borderId="0" xfId="17" applyFont="1" applyAlignment="1">
      <alignment horizontal="left" vertical="center" indent="1"/>
    </xf>
    <xf numFmtId="0" fontId="6" fillId="0" borderId="4" xfId="17" applyFont="1" applyBorder="1" applyAlignment="1">
      <alignment horizontal="left" vertical="center" indent="1"/>
    </xf>
    <xf numFmtId="0" fontId="6" fillId="0" borderId="28" xfId="17" applyFont="1" applyBorder="1" applyAlignment="1">
      <alignment horizontal="left" vertical="center" indent="1"/>
    </xf>
    <xf numFmtId="0" fontId="0" fillId="0" borderId="0" xfId="0"/>
    <xf numFmtId="168" fontId="0" fillId="0" borderId="0" xfId="0" applyNumberFormat="1"/>
    <xf numFmtId="0" fontId="0" fillId="0" borderId="0" xfId="0"/>
    <xf numFmtId="0" fontId="0" fillId="0" borderId="0" xfId="0"/>
    <xf numFmtId="3" fontId="47" fillId="0" borderId="0" xfId="46" applyNumberFormat="1" applyFont="1" applyAlignment="1">
      <alignment horizontal="left" wrapText="1"/>
    </xf>
    <xf numFmtId="0" fontId="0" fillId="0" borderId="0" xfId="0"/>
    <xf numFmtId="0" fontId="62" fillId="0" borderId="0" xfId="60"/>
    <xf numFmtId="9" fontId="0" fillId="0" borderId="0" xfId="14" applyFont="1"/>
    <xf numFmtId="9" fontId="0" fillId="0" borderId="0" xfId="0" applyNumberFormat="1"/>
    <xf numFmtId="0" fontId="16" fillId="6" borderId="9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0" fillId="0" borderId="5" xfId="0" applyFont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16" fillId="3" borderId="2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33" fillId="0" borderId="0" xfId="0" applyFont="1"/>
    <xf numFmtId="0" fontId="27" fillId="0" borderId="0" xfId="0" applyFont="1" applyAlignment="1">
      <alignment horizontal="left" vertical="center" wrapText="1"/>
    </xf>
    <xf numFmtId="0" fontId="0" fillId="0" borderId="0" xfId="0"/>
    <xf numFmtId="168" fontId="19" fillId="0" borderId="0" xfId="1" applyNumberFormat="1" applyFont="1" applyAlignment="1" applyProtection="1">
      <alignment horizontal="center"/>
      <protection hidden="1"/>
    </xf>
    <xf numFmtId="0" fontId="16" fillId="6" borderId="12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7" fillId="0" borderId="0" xfId="69" applyFont="1" applyAlignment="1" applyProtection="1">
      <alignment vertical="center"/>
      <protection hidden="1"/>
    </xf>
    <xf numFmtId="0" fontId="15" fillId="0" borderId="0" xfId="69" applyFont="1" applyFill="1" applyAlignment="1" applyProtection="1">
      <alignment vertical="center"/>
      <protection hidden="1"/>
    </xf>
    <xf numFmtId="0" fontId="16" fillId="0" borderId="5" xfId="69" applyFont="1" applyFill="1" applyBorder="1" applyAlignment="1" applyProtection="1">
      <alignment horizontal="center" vertical="center" wrapText="1"/>
      <protection hidden="1"/>
    </xf>
    <xf numFmtId="0" fontId="15" fillId="0" borderId="0" xfId="69" applyFont="1" applyFill="1" applyAlignment="1" applyProtection="1">
      <alignment horizontal="center" vertical="center"/>
      <protection hidden="1"/>
    </xf>
    <xf numFmtId="0" fontId="15" fillId="0" borderId="0" xfId="69" applyFont="1" applyAlignment="1" applyProtection="1">
      <alignment vertical="center"/>
      <protection hidden="1"/>
    </xf>
    <xf numFmtId="3" fontId="11" fillId="0" borderId="0" xfId="0" applyNumberFormat="1" applyFont="1"/>
    <xf numFmtId="3" fontId="37" fillId="0" borderId="0" xfId="69" applyNumberFormat="1" applyFont="1" applyAlignment="1" applyProtection="1">
      <alignment vertical="center"/>
      <protection hidden="1"/>
    </xf>
    <xf numFmtId="3" fontId="15" fillId="0" borderId="0" xfId="69" applyNumberFormat="1" applyFont="1" applyFill="1" applyBorder="1" applyAlignment="1">
      <alignment horizontal="center" vertical="center" wrapText="1"/>
    </xf>
    <xf numFmtId="0" fontId="1" fillId="0" borderId="0" xfId="71"/>
    <xf numFmtId="0" fontId="1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 wrapText="1"/>
      <protection hidden="1"/>
    </xf>
    <xf numFmtId="0" fontId="12" fillId="0" borderId="5" xfId="71" applyFont="1" applyBorder="1" applyAlignment="1">
      <alignment horizontal="center" vertical="center"/>
    </xf>
    <xf numFmtId="0" fontId="1" fillId="0" borderId="0" xfId="71" applyFont="1"/>
    <xf numFmtId="0" fontId="7" fillId="0" borderId="0" xfId="71" applyFont="1"/>
    <xf numFmtId="3" fontId="30" fillId="3" borderId="0" xfId="71" applyNumberFormat="1" applyFont="1" applyFill="1" applyBorder="1" applyAlignment="1">
      <alignment horizontal="center" vertical="center"/>
    </xf>
    <xf numFmtId="0" fontId="5" fillId="0" borderId="0" xfId="72" applyFont="1" applyFill="1" applyAlignment="1" applyProtection="1">
      <alignment vertical="center"/>
      <protection hidden="1"/>
    </xf>
    <xf numFmtId="0" fontId="1" fillId="0" borderId="0" xfId="0" applyFont="1"/>
    <xf numFmtId="0" fontId="1" fillId="0" borderId="0" xfId="74" applyFont="1"/>
    <xf numFmtId="0" fontId="1" fillId="0" borderId="0" xfId="74"/>
    <xf numFmtId="0" fontId="1" fillId="0" borderId="0" xfId="75" applyFont="1" applyAlignment="1">
      <alignment vertical="center"/>
    </xf>
    <xf numFmtId="0" fontId="16" fillId="0" borderId="0" xfId="75" applyFont="1" applyFill="1" applyBorder="1" applyAlignment="1">
      <alignment vertical="center" wrapText="1"/>
    </xf>
    <xf numFmtId="49" fontId="15" fillId="0" borderId="0" xfId="75" applyNumberFormat="1" applyFont="1" applyFill="1" applyBorder="1" applyAlignment="1">
      <alignment horizontal="center" vertical="center" wrapText="1"/>
    </xf>
    <xf numFmtId="3" fontId="15" fillId="0" borderId="0" xfId="75" applyNumberFormat="1" applyFont="1" applyFill="1" applyBorder="1" applyAlignment="1">
      <alignment horizontal="center" vertical="center" wrapText="1"/>
    </xf>
    <xf numFmtId="0" fontId="1" fillId="0" borderId="0" xfId="75" applyFont="1" applyFill="1"/>
    <xf numFmtId="0" fontId="1" fillId="0" borderId="0" xfId="74" applyFont="1" applyBorder="1"/>
    <xf numFmtId="0" fontId="41" fillId="0" borderId="0" xfId="46" applyBorder="1"/>
    <xf numFmtId="0" fontId="16" fillId="6" borderId="34" xfId="0" applyFont="1" applyFill="1" applyBorder="1" applyAlignment="1">
      <alignment horizontal="center" vertical="center" wrapText="1"/>
    </xf>
    <xf numFmtId="0" fontId="16" fillId="6" borderId="34" xfId="0" applyFont="1" applyFill="1" applyBorder="1" applyAlignment="1">
      <alignment horizontal="left" vertical="center" wrapText="1" indent="1"/>
    </xf>
    <xf numFmtId="0" fontId="16" fillId="0" borderId="9" xfId="0" applyFont="1" applyFill="1" applyBorder="1" applyAlignment="1">
      <alignment horizontal="left" vertical="center" wrapText="1" indent="1"/>
    </xf>
    <xf numFmtId="0" fontId="16" fillId="0" borderId="14" xfId="0" applyFont="1" applyFill="1" applyBorder="1" applyAlignment="1">
      <alignment horizontal="left" vertical="center" wrapText="1" indent="1"/>
    </xf>
    <xf numFmtId="0" fontId="16" fillId="3" borderId="9" xfId="0" applyFont="1" applyFill="1" applyBorder="1" applyAlignment="1">
      <alignment horizontal="center" vertical="center" wrapText="1"/>
    </xf>
    <xf numFmtId="168" fontId="0" fillId="0" borderId="0" xfId="0" applyNumberFormat="1" applyFill="1"/>
    <xf numFmtId="0" fontId="11" fillId="0" borderId="0" xfId="0" applyFont="1" applyFill="1" applyAlignment="1">
      <alignment horizontal="left"/>
    </xf>
    <xf numFmtId="0" fontId="16" fillId="0" borderId="34" xfId="0" applyFont="1" applyFill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/>
    <xf numFmtId="0" fontId="16" fillId="0" borderId="34" xfId="0" applyFont="1" applyFill="1" applyBorder="1" applyAlignment="1">
      <alignment horizontal="left" vertical="center" wrapText="1" indent="1"/>
    </xf>
    <xf numFmtId="0" fontId="17" fillId="0" borderId="0" xfId="6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6" applyFont="1" applyFill="1" applyAlignment="1">
      <alignment vertical="center"/>
    </xf>
    <xf numFmtId="0" fontId="16" fillId="0" borderId="0" xfId="13" applyFont="1" applyFill="1" applyAlignment="1">
      <alignment vertical="center"/>
    </xf>
    <xf numFmtId="0" fontId="16" fillId="0" borderId="0" xfId="6" applyFont="1" applyFill="1" applyAlignment="1">
      <alignment vertical="center"/>
    </xf>
    <xf numFmtId="0" fontId="16" fillId="0" borderId="0" xfId="6" applyFont="1" applyFill="1" applyBorder="1" applyAlignment="1">
      <alignment vertical="top"/>
    </xf>
    <xf numFmtId="0" fontId="16" fillId="0" borderId="0" xfId="6" applyFont="1" applyFill="1" applyAlignment="1"/>
    <xf numFmtId="0" fontId="16" fillId="0" borderId="0" xfId="6" applyFont="1" applyFill="1" applyBorder="1" applyAlignment="1">
      <alignment vertical="center" wrapText="1"/>
    </xf>
    <xf numFmtId="0" fontId="16" fillId="0" borderId="0" xfId="6" applyFont="1" applyFill="1" applyBorder="1" applyAlignment="1">
      <alignment vertical="center"/>
    </xf>
    <xf numFmtId="0" fontId="6" fillId="0" borderId="4" xfId="17" applyBorder="1" applyAlignment="1">
      <alignment horizontal="left" vertical="center" indent="1"/>
    </xf>
    <xf numFmtId="0" fontId="6" fillId="0" borderId="0" xfId="17" applyBorder="1" applyAlignment="1">
      <alignment horizontal="left" vertical="center" indent="1"/>
    </xf>
    <xf numFmtId="0" fontId="6" fillId="0" borderId="0" xfId="17" applyFont="1" applyBorder="1" applyAlignment="1">
      <alignment horizontal="left" vertical="center" indent="1"/>
    </xf>
    <xf numFmtId="0" fontId="0" fillId="0" borderId="0" xfId="0"/>
    <xf numFmtId="0" fontId="0" fillId="0" borderId="0" xfId="0" applyAlignment="1">
      <alignment horizontal="right"/>
    </xf>
    <xf numFmtId="0" fontId="0" fillId="0" borderId="0" xfId="0"/>
    <xf numFmtId="0" fontId="65" fillId="0" borderId="0" xfId="0" applyFont="1" applyAlignment="1">
      <alignment horizontal="right"/>
    </xf>
    <xf numFmtId="0" fontId="65" fillId="0" borderId="0" xfId="0" applyFont="1"/>
    <xf numFmtId="0" fontId="63" fillId="0" borderId="0" xfId="0" applyFont="1"/>
    <xf numFmtId="0" fontId="71" fillId="0" borderId="0" xfId="46" applyFont="1" applyAlignment="1">
      <alignment vertical="center" wrapText="1"/>
    </xf>
    <xf numFmtId="0" fontId="71" fillId="0" borderId="0" xfId="46" applyFont="1" applyBorder="1" applyAlignment="1">
      <alignment vertical="center" wrapText="1"/>
    </xf>
    <xf numFmtId="0" fontId="70" fillId="0" borderId="0" xfId="0" applyFont="1" applyAlignment="1">
      <alignment horizontal="right" vertical="center" wrapText="1"/>
    </xf>
    <xf numFmtId="0" fontId="70" fillId="0" borderId="0" xfId="0" applyFont="1" applyAlignment="1">
      <alignment vertical="center" wrapText="1"/>
    </xf>
    <xf numFmtId="0" fontId="71" fillId="0" borderId="0" xfId="0" applyFont="1" applyFill="1" applyBorder="1" applyAlignment="1">
      <alignment vertical="center" wrapText="1"/>
    </xf>
    <xf numFmtId="0" fontId="71" fillId="0" borderId="0" xfId="0" applyFont="1" applyBorder="1" applyAlignment="1">
      <alignment vertical="center" wrapText="1"/>
    </xf>
    <xf numFmtId="0" fontId="71" fillId="0" borderId="0" xfId="0" applyFont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9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" vertical="center"/>
    </xf>
    <xf numFmtId="0" fontId="71" fillId="0" borderId="0" xfId="46" applyFont="1" applyAlignment="1">
      <alignment vertical="center"/>
    </xf>
    <xf numFmtId="0" fontId="71" fillId="0" borderId="0" xfId="46" applyFont="1" applyBorder="1" applyAlignment="1">
      <alignment vertical="center"/>
    </xf>
    <xf numFmtId="0" fontId="70" fillId="0" borderId="0" xfId="0" applyFont="1" applyBorder="1" applyAlignment="1">
      <alignment vertical="center"/>
    </xf>
    <xf numFmtId="0" fontId="70" fillId="0" borderId="4" xfId="79" applyFont="1" applyBorder="1" applyAlignment="1">
      <alignment vertical="center" wrapText="1"/>
    </xf>
    <xf numFmtId="0" fontId="70" fillId="0" borderId="37" xfId="79" applyFont="1" applyBorder="1" applyAlignment="1">
      <alignment vertical="center" wrapText="1"/>
    </xf>
    <xf numFmtId="0" fontId="71" fillId="0" borderId="37" xfId="0" applyFont="1" applyFill="1" applyBorder="1" applyAlignment="1">
      <alignment vertical="center" wrapText="1"/>
    </xf>
    <xf numFmtId="0" fontId="71" fillId="0" borderId="4" xfId="0" applyFont="1" applyFill="1" applyBorder="1" applyAlignment="1">
      <alignment vertical="center" wrapText="1"/>
    </xf>
    <xf numFmtId="0" fontId="71" fillId="0" borderId="4" xfId="79" applyFont="1" applyBorder="1" applyAlignment="1">
      <alignment vertical="center" wrapText="1"/>
    </xf>
    <xf numFmtId="167" fontId="0" fillId="0" borderId="2" xfId="0" applyNumberFormat="1" applyFont="1" applyBorder="1"/>
    <xf numFmtId="0" fontId="6" fillId="0" borderId="0" xfId="17" applyFont="1" applyFill="1" applyAlignment="1">
      <alignment horizontal="left" vertical="center" indent="1"/>
    </xf>
    <xf numFmtId="0" fontId="12" fillId="0" borderId="0" xfId="17" applyFont="1" applyFill="1" applyAlignment="1">
      <alignment horizontal="left" vertical="center" wrapText="1" indent="1"/>
    </xf>
    <xf numFmtId="0" fontId="0" fillId="0" borderId="0" xfId="0" applyFill="1" applyBorder="1"/>
    <xf numFmtId="0" fontId="16" fillId="0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horizontal="center" vertical="center" textRotation="90" wrapText="1"/>
    </xf>
    <xf numFmtId="0" fontId="15" fillId="0" borderId="0" xfId="69" applyFont="1" applyFill="1" applyBorder="1" applyAlignment="1" applyProtection="1">
      <alignment vertical="center"/>
      <protection hidden="1"/>
    </xf>
    <xf numFmtId="3" fontId="59" fillId="0" borderId="0" xfId="69" applyNumberFormat="1" applyFont="1" applyFill="1" applyBorder="1" applyAlignment="1">
      <alignment horizontal="center" vertical="center" wrapText="1"/>
    </xf>
    <xf numFmtId="0" fontId="14" fillId="0" borderId="0" xfId="46" applyFont="1" applyFill="1" applyBorder="1" applyAlignment="1">
      <alignment horizontal="center" vertical="center" textRotation="90"/>
    </xf>
    <xf numFmtId="0" fontId="59" fillId="0" borderId="0" xfId="0" applyFont="1" applyFill="1" applyBorder="1" applyAlignment="1">
      <alignment horizontal="center" vertical="center"/>
    </xf>
    <xf numFmtId="3" fontId="59" fillId="0" borderId="0" xfId="72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3" fontId="15" fillId="0" borderId="0" xfId="71" applyNumberFormat="1" applyFont="1" applyFill="1" applyBorder="1" applyAlignment="1">
      <alignment horizontal="center" vertical="center"/>
    </xf>
    <xf numFmtId="3" fontId="59" fillId="0" borderId="0" xfId="71" applyNumberFormat="1" applyFont="1" applyFill="1" applyBorder="1" applyAlignment="1">
      <alignment horizontal="center" vertical="center"/>
    </xf>
    <xf numFmtId="0" fontId="1" fillId="0" borderId="0" xfId="71" applyFont="1" applyFill="1"/>
    <xf numFmtId="0" fontId="16" fillId="0" borderId="0" xfId="17" applyFont="1" applyBorder="1" applyAlignment="1">
      <alignment vertical="center"/>
    </xf>
    <xf numFmtId="0" fontId="11" fillId="0" borderId="0" xfId="17" applyFont="1" applyBorder="1" applyAlignment="1">
      <alignment horizontal="left" vertical="center" indent="1"/>
    </xf>
    <xf numFmtId="0" fontId="12" fillId="0" borderId="0" xfId="17" applyFont="1" applyBorder="1" applyAlignment="1">
      <alignment vertical="center"/>
    </xf>
    <xf numFmtId="0" fontId="25" fillId="0" borderId="0" xfId="13" applyFont="1" applyFill="1" applyBorder="1" applyAlignment="1">
      <alignment vertical="center"/>
    </xf>
    <xf numFmtId="0" fontId="0" fillId="0" borderId="0" xfId="0"/>
    <xf numFmtId="0" fontId="11" fillId="0" borderId="0" xfId="0" applyFont="1" applyAlignment="1">
      <alignment horizontal="left" vertical="center" indent="2"/>
    </xf>
    <xf numFmtId="0" fontId="60" fillId="0" borderId="0" xfId="0" applyFont="1" applyAlignment="1">
      <alignment horizontal="left" vertical="center" indent="1"/>
    </xf>
    <xf numFmtId="0" fontId="66" fillId="0" borderId="0" xfId="0" applyFont="1" applyAlignment="1">
      <alignment vertical="center"/>
    </xf>
    <xf numFmtId="0" fontId="17" fillId="3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0" fillId="0" borderId="0" xfId="0" applyFont="1"/>
    <xf numFmtId="0" fontId="0" fillId="0" borderId="0" xfId="0"/>
    <xf numFmtId="0" fontId="16" fillId="0" borderId="0" xfId="0" applyFont="1" applyFill="1" applyAlignment="1">
      <alignment vertical="center"/>
    </xf>
    <xf numFmtId="0" fontId="1" fillId="0" borderId="0" xfId="74" applyAlignment="1">
      <alignment horizontal="left" vertical="center" indent="1"/>
    </xf>
    <xf numFmtId="0" fontId="0" fillId="0" borderId="0" xfId="0"/>
    <xf numFmtId="0" fontId="0" fillId="0" borderId="0" xfId="0"/>
    <xf numFmtId="0" fontId="0" fillId="0" borderId="0" xfId="0"/>
    <xf numFmtId="0" fontId="27" fillId="0" borderId="0" xfId="0" applyFont="1" applyAlignment="1">
      <alignment horizontal="left" vertical="center" wrapText="1"/>
    </xf>
    <xf numFmtId="0" fontId="0" fillId="0" borderId="0" xfId="0" applyFont="1"/>
    <xf numFmtId="0" fontId="0" fillId="0" borderId="0" xfId="0"/>
    <xf numFmtId="0" fontId="71" fillId="0" borderId="0" xfId="79" applyFont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0" fillId="3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0" fillId="0" borderId="0" xfId="0"/>
    <xf numFmtId="0" fontId="21" fillId="0" borderId="0" xfId="0" applyFont="1" applyFill="1"/>
    <xf numFmtId="0" fontId="1" fillId="0" borderId="0" xfId="80" applyFont="1"/>
    <xf numFmtId="0" fontId="1" fillId="0" borderId="0" xfId="80" applyFont="1" applyBorder="1"/>
    <xf numFmtId="0" fontId="30" fillId="0" borderId="0" xfId="80" applyFont="1" applyFill="1" applyBorder="1" applyAlignment="1">
      <alignment horizontal="left" vertical="center" indent="1"/>
    </xf>
    <xf numFmtId="0" fontId="30" fillId="0" borderId="0" xfId="80" applyFont="1" applyFill="1" applyBorder="1" applyAlignment="1">
      <alignment horizontal="center" vertical="center"/>
    </xf>
    <xf numFmtId="0" fontId="0" fillId="0" borderId="0" xfId="0"/>
    <xf numFmtId="0" fontId="0" fillId="0" borderId="0" xfId="0" applyFont="1"/>
    <xf numFmtId="168" fontId="0" fillId="0" borderId="0" xfId="0" applyNumberFormat="1" applyBorder="1"/>
    <xf numFmtId="0" fontId="0" fillId="0" borderId="0" xfId="0"/>
    <xf numFmtId="0" fontId="0" fillId="0" borderId="0" xfId="0"/>
    <xf numFmtId="0" fontId="0" fillId="0" borderId="0" xfId="0" applyFont="1"/>
    <xf numFmtId="3" fontId="59" fillId="0" borderId="0" xfId="69" applyNumberFormat="1" applyFont="1" applyFill="1" applyBorder="1" applyAlignment="1">
      <alignment vertical="center" wrapText="1"/>
    </xf>
    <xf numFmtId="0" fontId="0" fillId="0" borderId="0" xfId="0"/>
    <xf numFmtId="0" fontId="43" fillId="0" borderId="0" xfId="46" applyFont="1" applyBorder="1" applyAlignment="1">
      <alignment horizontal="left" vertical="top" wrapText="1" indent="1"/>
    </xf>
    <xf numFmtId="0" fontId="11" fillId="0" borderId="19" xfId="0" applyFont="1" applyBorder="1" applyAlignment="1">
      <alignment vertical="center" wrapText="1"/>
    </xf>
    <xf numFmtId="0" fontId="11" fillId="0" borderId="0" xfId="0" applyFont="1" applyFill="1" applyAlignment="1">
      <alignment horizontal="left" vertical="center" indent="2"/>
    </xf>
    <xf numFmtId="0" fontId="7" fillId="0" borderId="0" xfId="74" applyFont="1" applyAlignment="1">
      <alignment horizontal="left" vertical="center"/>
    </xf>
    <xf numFmtId="0" fontId="43" fillId="0" borderId="0" xfId="46" applyFont="1" applyFill="1" applyBorder="1" applyAlignment="1">
      <alignment vertical="top" wrapText="1"/>
    </xf>
    <xf numFmtId="0" fontId="1" fillId="0" borderId="0" xfId="74" applyFont="1" applyFill="1"/>
    <xf numFmtId="0" fontId="0" fillId="0" borderId="0" xfId="0"/>
    <xf numFmtId="0" fontId="11" fillId="0" borderId="0" xfId="13" applyFont="1" applyFill="1" applyAlignment="1">
      <alignment vertical="center"/>
    </xf>
    <xf numFmtId="0" fontId="0" fillId="0" borderId="0" xfId="0"/>
    <xf numFmtId="0" fontId="7" fillId="0" borderId="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78" fillId="0" borderId="0" xfId="0" applyFont="1"/>
    <xf numFmtId="41" fontId="59" fillId="6" borderId="25" xfId="0" applyNumberFormat="1" applyFont="1" applyFill="1" applyBorder="1" applyAlignment="1">
      <alignment horizontal="center" vertical="center" wrapText="1"/>
    </xf>
    <xf numFmtId="41" fontId="59" fillId="6" borderId="9" xfId="0" applyNumberFormat="1" applyFont="1" applyFill="1" applyBorder="1" applyAlignment="1">
      <alignment horizontal="center" vertical="center" wrapText="1"/>
    </xf>
    <xf numFmtId="41" fontId="59" fillId="6" borderId="5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0" xfId="0"/>
    <xf numFmtId="41" fontId="64" fillId="0" borderId="5" xfId="0" applyNumberFormat="1" applyFont="1" applyFill="1" applyBorder="1" applyAlignment="1">
      <alignment horizontal="center" vertical="center" wrapText="1"/>
    </xf>
    <xf numFmtId="41" fontId="59" fillId="6" borderId="10" xfId="0" applyNumberFormat="1" applyFont="1" applyFill="1" applyBorder="1" applyAlignment="1">
      <alignment horizontal="center" vertical="center" wrapText="1"/>
    </xf>
    <xf numFmtId="41" fontId="59" fillId="6" borderId="5" xfId="71" applyNumberFormat="1" applyFont="1" applyFill="1" applyBorder="1" applyAlignment="1">
      <alignment horizontal="center" vertical="center"/>
    </xf>
    <xf numFmtId="41" fontId="59" fillId="0" borderId="5" xfId="71" applyNumberFormat="1" applyFont="1" applyFill="1" applyBorder="1" applyAlignment="1">
      <alignment horizontal="center" vertical="center"/>
    </xf>
    <xf numFmtId="41" fontId="59" fillId="0" borderId="0" xfId="71" applyNumberFormat="1" applyFont="1" applyFill="1" applyBorder="1" applyAlignment="1">
      <alignment horizontal="center" vertical="center"/>
    </xf>
    <xf numFmtId="41" fontId="30" fillId="3" borderId="0" xfId="71" applyNumberFormat="1" applyFont="1" applyFill="1" applyBorder="1" applyAlignment="1">
      <alignment horizontal="center" vertical="center"/>
    </xf>
    <xf numFmtId="0" fontId="0" fillId="0" borderId="0" xfId="0"/>
    <xf numFmtId="0" fontId="16" fillId="6" borderId="5" xfId="46" applyFont="1" applyFill="1" applyBorder="1" applyAlignment="1">
      <alignment horizontal="left" vertical="center" wrapText="1" indent="1"/>
    </xf>
    <xf numFmtId="0" fontId="17" fillId="6" borderId="5" xfId="0" applyFont="1" applyFill="1" applyBorder="1" applyAlignment="1">
      <alignment horizontal="left" vertical="center" wrapText="1" indent="1"/>
    </xf>
    <xf numFmtId="0" fontId="0" fillId="0" borderId="0" xfId="0" applyFont="1"/>
    <xf numFmtId="0" fontId="30" fillId="0" borderId="0" xfId="69" applyFont="1" applyAlignment="1" applyProtection="1">
      <alignment vertical="center"/>
      <protection hidden="1"/>
    </xf>
    <xf numFmtId="0" fontId="35" fillId="0" borderId="0" xfId="6" applyFont="1" applyFill="1" applyBorder="1" applyAlignment="1">
      <alignment horizontal="left" vertical="center"/>
    </xf>
    <xf numFmtId="0" fontId="6" fillId="0" borderId="0" xfId="17" applyFont="1" applyFill="1" applyBorder="1" applyAlignment="1">
      <alignment horizontal="left" vertical="center" indent="1"/>
    </xf>
    <xf numFmtId="41" fontId="59" fillId="6" borderId="11" xfId="0" applyNumberFormat="1" applyFont="1" applyFill="1" applyBorder="1" applyAlignment="1">
      <alignment horizontal="center" vertical="center" wrapText="1"/>
    </xf>
    <xf numFmtId="41" fontId="59" fillId="0" borderId="5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 indent="1"/>
    </xf>
    <xf numFmtId="0" fontId="14" fillId="0" borderId="12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78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78" fillId="0" borderId="0" xfId="0" applyFont="1"/>
    <xf numFmtId="41" fontId="59" fillId="6" borderId="34" xfId="0" applyNumberFormat="1" applyFont="1" applyFill="1" applyBorder="1" applyAlignment="1">
      <alignment horizontal="center" vertical="center" wrapText="1"/>
    </xf>
    <xf numFmtId="41" fontId="59" fillId="6" borderId="5" xfId="0" applyNumberFormat="1" applyFont="1" applyFill="1" applyBorder="1" applyAlignment="1">
      <alignment horizontal="center" vertical="center"/>
    </xf>
    <xf numFmtId="41" fontId="59" fillId="3" borderId="5" xfId="0" applyNumberFormat="1" applyFont="1" applyFill="1" applyBorder="1" applyAlignment="1">
      <alignment horizontal="center" vertical="center"/>
    </xf>
    <xf numFmtId="41" fontId="59" fillId="0" borderId="5" xfId="0" applyNumberFormat="1" applyFont="1" applyFill="1" applyBorder="1" applyAlignment="1">
      <alignment horizontal="center" vertical="center"/>
    </xf>
    <xf numFmtId="41" fontId="59" fillId="6" borderId="9" xfId="0" applyNumberFormat="1" applyFont="1" applyFill="1" applyBorder="1" applyAlignment="1">
      <alignment horizontal="center" vertical="center" wrapText="1"/>
    </xf>
    <xf numFmtId="41" fontId="59" fillId="0" borderId="9" xfId="0" applyNumberFormat="1" applyFont="1" applyFill="1" applyBorder="1" applyAlignment="1">
      <alignment horizontal="center" vertical="center" wrapText="1"/>
    </xf>
    <xf numFmtId="41" fontId="59" fillId="0" borderId="34" xfId="0" applyNumberFormat="1" applyFont="1" applyFill="1" applyBorder="1" applyAlignment="1">
      <alignment horizontal="center" vertical="center" wrapText="1"/>
    </xf>
    <xf numFmtId="41" fontId="59" fillId="0" borderId="25" xfId="0" applyNumberFormat="1" applyFont="1" applyFill="1" applyBorder="1" applyAlignment="1">
      <alignment horizontal="center" vertical="center" wrapText="1"/>
    </xf>
    <xf numFmtId="0" fontId="79" fillId="0" borderId="0" xfId="0" applyFont="1"/>
    <xf numFmtId="0" fontId="0" fillId="0" borderId="0" xfId="0"/>
    <xf numFmtId="0" fontId="0" fillId="0" borderId="0" xfId="0"/>
    <xf numFmtId="3" fontId="11" fillId="0" borderId="0" xfId="0" applyNumberFormat="1" applyFont="1" applyFill="1" applyBorder="1"/>
    <xf numFmtId="41" fontId="59" fillId="0" borderId="18" xfId="69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77" fillId="0" borderId="0" xfId="0" applyFont="1"/>
    <xf numFmtId="0" fontId="77" fillId="0" borderId="18" xfId="0" applyFont="1" applyBorder="1" applyAlignment="1">
      <alignment vertical="center" textRotation="90" wrapText="1"/>
    </xf>
    <xf numFmtId="0" fontId="77" fillId="0" borderId="0" xfId="0" applyFont="1" applyBorder="1" applyAlignment="1">
      <alignment vertical="center" textRotation="90" wrapText="1"/>
    </xf>
    <xf numFmtId="0" fontId="77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 vertical="center" wrapText="1" indent="1"/>
    </xf>
    <xf numFmtId="0" fontId="0" fillId="0" borderId="0" xfId="0"/>
    <xf numFmtId="0" fontId="14" fillId="6" borderId="5" xfId="46" applyFont="1" applyFill="1" applyBorder="1" applyAlignment="1">
      <alignment horizontal="center" vertical="center" textRotation="90"/>
    </xf>
    <xf numFmtId="0" fontId="14" fillId="0" borderId="0" xfId="0" applyFont="1" applyFill="1" applyBorder="1" applyAlignment="1">
      <alignment horizontal="center" vertical="center" textRotation="90" wrapText="1"/>
    </xf>
    <xf numFmtId="0" fontId="17" fillId="0" borderId="0" xfId="0" applyFont="1" applyFill="1" applyBorder="1" applyAlignment="1">
      <alignment horizontal="left" vertical="center" wrapText="1" indent="1"/>
    </xf>
    <xf numFmtId="168" fontId="75" fillId="0" borderId="0" xfId="0" applyNumberFormat="1" applyFont="1" applyFill="1" applyBorder="1" applyAlignment="1">
      <alignment horizontal="center" vertical="center" wrapText="1"/>
    </xf>
    <xf numFmtId="0" fontId="15" fillId="0" borderId="0" xfId="69" applyFont="1" applyBorder="1" applyAlignment="1" applyProtection="1">
      <alignment vertical="center"/>
      <protection hidden="1"/>
    </xf>
    <xf numFmtId="41" fontId="59" fillId="0" borderId="0" xfId="69" applyNumberFormat="1" applyFont="1" applyFill="1" applyBorder="1" applyAlignment="1">
      <alignment horizontal="center" vertical="center" wrapText="1"/>
    </xf>
    <xf numFmtId="0" fontId="0" fillId="0" borderId="0" xfId="0" applyFont="1"/>
    <xf numFmtId="9" fontId="0" fillId="0" borderId="0" xfId="112" applyFont="1"/>
    <xf numFmtId="0" fontId="82" fillId="0" borderId="0" xfId="46" applyFont="1"/>
    <xf numFmtId="0" fontId="52" fillId="0" borderId="0" xfId="46" applyFont="1"/>
    <xf numFmtId="0" fontId="0" fillId="0" borderId="0" xfId="0" applyFont="1" applyBorder="1" applyAlignment="1"/>
    <xf numFmtId="0" fontId="1" fillId="0" borderId="0" xfId="129" applyFont="1" applyFill="1" applyBorder="1" applyAlignment="1">
      <alignment horizontal="center" vertical="center"/>
    </xf>
    <xf numFmtId="0" fontId="81" fillId="0" borderId="0" xfId="46" applyFont="1" applyFill="1" applyBorder="1" applyAlignment="1">
      <alignment horizontal="left" vertical="center"/>
    </xf>
    <xf numFmtId="0" fontId="43" fillId="0" borderId="0" xfId="46" applyFont="1" applyBorder="1" applyAlignment="1">
      <alignment horizontal="left" vertical="top" wrapText="1" indent="1"/>
    </xf>
    <xf numFmtId="0" fontId="7" fillId="0" borderId="5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41" fillId="0" borderId="0" xfId="46" applyFill="1" applyAlignment="1">
      <alignment horizontal="center" vertical="center" wrapText="1"/>
    </xf>
    <xf numFmtId="0" fontId="49" fillId="0" borderId="0" xfId="46" applyFont="1" applyFill="1"/>
    <xf numFmtId="0" fontId="1" fillId="0" borderId="0" xfId="74" applyFill="1" applyAlignment="1">
      <alignment horizontal="left" vertical="center" indent="1"/>
    </xf>
    <xf numFmtId="3" fontId="30" fillId="0" borderId="0" xfId="0" applyNumberFormat="1" applyFont="1" applyFill="1" applyBorder="1" applyAlignment="1">
      <alignment horizontal="center" vertical="center" wrapText="1"/>
    </xf>
    <xf numFmtId="0" fontId="14" fillId="0" borderId="0" xfId="46" applyFont="1"/>
    <xf numFmtId="0" fontId="46" fillId="0" borderId="0" xfId="46" applyFont="1"/>
    <xf numFmtId="0" fontId="0" fillId="0" borderId="0" xfId="0"/>
    <xf numFmtId="0" fontId="16" fillId="6" borderId="5" xfId="0" applyFont="1" applyFill="1" applyBorder="1" applyAlignment="1">
      <alignment horizontal="left" vertical="center" wrapText="1"/>
    </xf>
    <xf numFmtId="0" fontId="0" fillId="0" borderId="0" xfId="0" applyFont="1"/>
    <xf numFmtId="49" fontId="11" fillId="0" borderId="0" xfId="72" applyNumberFormat="1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vertical="center" wrapText="1"/>
      <protection hidden="1"/>
    </xf>
    <xf numFmtId="0" fontId="84" fillId="0" borderId="0" xfId="1" applyFont="1" applyAlignment="1" applyProtection="1">
      <alignment horizontal="center"/>
      <protection hidden="1"/>
    </xf>
    <xf numFmtId="0" fontId="37" fillId="0" borderId="0" xfId="69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21" fillId="0" borderId="0" xfId="0" applyFont="1" applyFill="1" applyBorder="1"/>
    <xf numFmtId="0" fontId="7" fillId="0" borderId="0" xfId="0" applyFont="1" applyFill="1"/>
    <xf numFmtId="0" fontId="70" fillId="0" borderId="0" xfId="0" applyFont="1" applyBorder="1" applyAlignment="1">
      <alignment horizontal="right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41" fontId="59" fillId="0" borderId="5" xfId="69" applyNumberFormat="1" applyFont="1" applyFill="1" applyBorder="1" applyAlignment="1">
      <alignment horizontal="center" vertical="center" wrapText="1"/>
    </xf>
    <xf numFmtId="0" fontId="43" fillId="0" borderId="0" xfId="46" applyFont="1" applyFill="1" applyBorder="1" applyAlignment="1">
      <alignment horizontal="left" vertical="top" wrapText="1" indent="1"/>
    </xf>
    <xf numFmtId="0" fontId="11" fillId="0" borderId="0" xfId="72" applyFont="1" applyFill="1" applyBorder="1" applyAlignment="1" applyProtection="1">
      <alignment horizontal="center" vertical="center"/>
      <protection hidden="1"/>
    </xf>
    <xf numFmtId="0" fontId="85" fillId="0" borderId="0" xfId="46" applyFont="1"/>
    <xf numFmtId="0" fontId="77" fillId="0" borderId="18" xfId="0" applyFont="1" applyBorder="1" applyAlignment="1">
      <alignment vertical="center" wrapText="1"/>
    </xf>
    <xf numFmtId="0" fontId="77" fillId="0" borderId="0" xfId="0" applyFont="1" applyBorder="1" applyAlignment="1">
      <alignment vertical="center" wrapText="1"/>
    </xf>
    <xf numFmtId="0" fontId="16" fillId="0" borderId="0" xfId="72" applyFont="1" applyFill="1" applyBorder="1" applyAlignment="1" applyProtection="1">
      <alignment wrapText="1"/>
      <protection hidden="1"/>
    </xf>
    <xf numFmtId="0" fontId="46" fillId="0" borderId="0" xfId="72" applyFont="1" applyFill="1" applyBorder="1" applyAlignment="1" applyProtection="1">
      <alignment wrapText="1"/>
      <protection hidden="1"/>
    </xf>
    <xf numFmtId="0" fontId="30" fillId="0" borderId="0" xfId="0" applyFont="1"/>
    <xf numFmtId="0" fontId="60" fillId="0" borderId="0" xfId="80" applyFont="1" applyBorder="1" applyAlignment="1">
      <alignment vertical="center"/>
    </xf>
    <xf numFmtId="0" fontId="41" fillId="0" borderId="0" xfId="46" applyFont="1" applyFill="1"/>
    <xf numFmtId="0" fontId="15" fillId="0" borderId="0" xfId="46" applyFont="1" applyFill="1" applyAlignment="1">
      <alignment vertical="center"/>
    </xf>
    <xf numFmtId="0" fontId="0" fillId="0" borderId="0" xfId="0"/>
    <xf numFmtId="0" fontId="16" fillId="3" borderId="1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9" fillId="0" borderId="0" xfId="1" applyFont="1" applyBorder="1" applyAlignment="1" applyProtection="1">
      <alignment horizontal="center"/>
      <protection hidden="1"/>
    </xf>
    <xf numFmtId="0" fontId="125" fillId="0" borderId="0" xfId="284" applyFont="1" applyAlignment="1" applyProtection="1">
      <alignment horizontal="left"/>
      <protection hidden="1"/>
    </xf>
    <xf numFmtId="41" fontId="80" fillId="0" borderId="0" xfId="69" applyNumberFormat="1" applyFont="1" applyFill="1" applyBorder="1" applyAlignment="1">
      <alignment horizontal="center" vertical="center" wrapText="1"/>
    </xf>
    <xf numFmtId="41" fontId="80" fillId="0" borderId="0" xfId="69" applyNumberFormat="1" applyFont="1" applyFill="1" applyBorder="1" applyAlignment="1">
      <alignment vertical="center" wrapText="1"/>
    </xf>
    <xf numFmtId="41" fontId="80" fillId="0" borderId="2" xfId="69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12" fillId="0" borderId="0" xfId="0" applyFont="1" applyAlignment="1">
      <alignment horizontal="center"/>
    </xf>
    <xf numFmtId="0" fontId="12" fillId="0" borderId="58" xfId="0" applyFont="1" applyBorder="1" applyAlignment="1">
      <alignment horizontal="center"/>
    </xf>
    <xf numFmtId="169" fontId="12" fillId="0" borderId="0" xfId="118" applyNumberFormat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58" xfId="0" applyBorder="1"/>
    <xf numFmtId="9" fontId="0" fillId="0" borderId="58" xfId="112" applyFont="1" applyBorder="1"/>
    <xf numFmtId="169" fontId="0" fillId="0" borderId="0" xfId="118" applyNumberFormat="1" applyFont="1"/>
    <xf numFmtId="0" fontId="0" fillId="0" borderId="0" xfId="0" applyAlignment="1">
      <alignment horizontal="right" vertical="center"/>
    </xf>
    <xf numFmtId="0" fontId="0" fillId="0" borderId="58" xfId="0" applyBorder="1" applyAlignment="1">
      <alignment horizontal="center" vertical="center"/>
    </xf>
    <xf numFmtId="0" fontId="7" fillId="0" borderId="58" xfId="0" applyFont="1" applyBorder="1" applyAlignment="1">
      <alignment horizontal="center" vertical="center" wrapText="1"/>
    </xf>
    <xf numFmtId="169" fontId="7" fillId="0" borderId="58" xfId="118" applyNumberFormat="1" applyFont="1" applyBorder="1" applyAlignment="1">
      <alignment horizontal="center" vertical="center" wrapText="1"/>
    </xf>
    <xf numFmtId="0" fontId="0" fillId="0" borderId="58" xfId="0" applyBorder="1" applyAlignment="1">
      <alignment vertical="center"/>
    </xf>
    <xf numFmtId="0" fontId="0" fillId="0" borderId="58" xfId="0" applyBorder="1" applyAlignment="1">
      <alignment horizontal="left" vertical="center"/>
    </xf>
    <xf numFmtId="0" fontId="0" fillId="0" borderId="58" xfId="0" applyBorder="1" applyAlignment="1">
      <alignment vertical="center" wrapText="1"/>
    </xf>
    <xf numFmtId="169" fontId="0" fillId="0" borderId="58" xfId="118" applyNumberFormat="1" applyFont="1" applyBorder="1" applyAlignment="1">
      <alignment horizontal="right" vertical="center" wrapText="1"/>
    </xf>
    <xf numFmtId="169" fontId="0" fillId="0" borderId="58" xfId="118" applyNumberFormat="1" applyFont="1" applyBorder="1" applyAlignment="1">
      <alignment horizontal="center" vertical="center"/>
    </xf>
    <xf numFmtId="9" fontId="0" fillId="0" borderId="58" xfId="0" applyNumberFormat="1" applyBorder="1" applyAlignment="1">
      <alignment horizontal="right"/>
    </xf>
    <xf numFmtId="9" fontId="0" fillId="0" borderId="58" xfId="0" applyNumberFormat="1" applyBorder="1" applyAlignment="1">
      <alignment horizontal="right" vertical="center"/>
    </xf>
    <xf numFmtId="0" fontId="11" fillId="0" borderId="58" xfId="0" applyFont="1" applyBorder="1" applyAlignment="1">
      <alignment vertical="center"/>
    </xf>
    <xf numFmtId="0" fontId="11" fillId="0" borderId="58" xfId="0" applyFont="1" applyBorder="1" applyAlignment="1">
      <alignment vertical="center" wrapText="1"/>
    </xf>
    <xf numFmtId="169" fontId="11" fillId="0" borderId="58" xfId="118" applyNumberFormat="1" applyFont="1" applyBorder="1" applyAlignment="1">
      <alignment horizontal="right" vertical="center" wrapText="1"/>
    </xf>
    <xf numFmtId="0" fontId="11" fillId="0" borderId="58" xfId="0" applyFont="1" applyBorder="1" applyAlignment="1">
      <alignment horizontal="center" vertical="center"/>
    </xf>
    <xf numFmtId="169" fontId="11" fillId="0" borderId="58" xfId="118" applyNumberFormat="1" applyFont="1" applyBorder="1" applyAlignment="1">
      <alignment horizontal="center" vertical="center"/>
    </xf>
    <xf numFmtId="9" fontId="11" fillId="0" borderId="58" xfId="0" applyNumberFormat="1" applyFont="1" applyBorder="1" applyAlignment="1">
      <alignment horizontal="right"/>
    </xf>
    <xf numFmtId="9" fontId="11" fillId="0" borderId="58" xfId="0" applyNumberFormat="1" applyFont="1" applyBorder="1" applyAlignment="1">
      <alignment horizontal="right" vertical="center"/>
    </xf>
    <xf numFmtId="0" fontId="11" fillId="0" borderId="58" xfId="0" applyFont="1" applyFill="1" applyBorder="1" applyAlignment="1">
      <alignment vertical="center" wrapText="1"/>
    </xf>
    <xf numFmtId="169" fontId="11" fillId="0" borderId="58" xfId="118" applyNumberFormat="1" applyFont="1" applyFill="1" applyBorder="1" applyAlignment="1">
      <alignment horizontal="right" vertical="center" wrapText="1"/>
    </xf>
    <xf numFmtId="0" fontId="11" fillId="0" borderId="58" xfId="0" applyFont="1" applyFill="1" applyBorder="1" applyAlignment="1">
      <alignment horizontal="center" vertical="center"/>
    </xf>
    <xf numFmtId="169" fontId="11" fillId="0" borderId="58" xfId="118" applyNumberFormat="1" applyFont="1" applyFill="1" applyBorder="1" applyAlignment="1">
      <alignment horizontal="center" vertical="center"/>
    </xf>
    <xf numFmtId="9" fontId="11" fillId="0" borderId="58" xfId="0" applyNumberFormat="1" applyFont="1" applyFill="1" applyBorder="1" applyAlignment="1">
      <alignment horizontal="right" vertical="center"/>
    </xf>
    <xf numFmtId="9" fontId="11" fillId="0" borderId="58" xfId="0" applyNumberFormat="1" applyFont="1" applyFill="1" applyBorder="1" applyAlignment="1">
      <alignment horizontal="right"/>
    </xf>
    <xf numFmtId="0" fontId="11" fillId="0" borderId="58" xfId="0" applyFont="1" applyBorder="1" applyAlignment="1">
      <alignment horizontal="left" vertical="center" wrapText="1"/>
    </xf>
    <xf numFmtId="169" fontId="11" fillId="0" borderId="0" xfId="118" applyNumberFormat="1" applyFont="1" applyAlignment="1">
      <alignment vertical="center" wrapText="1"/>
    </xf>
    <xf numFmtId="0" fontId="11" fillId="0" borderId="0" xfId="0" applyFont="1" applyAlignment="1">
      <alignment horizontal="right" vertical="center"/>
    </xf>
    <xf numFmtId="9" fontId="0" fillId="0" borderId="0" xfId="112" applyFont="1" applyBorder="1"/>
    <xf numFmtId="0" fontId="0" fillId="0" borderId="0" xfId="0" applyFont="1" applyBorder="1" applyAlignment="1">
      <alignment horizontal="left"/>
    </xf>
    <xf numFmtId="168" fontId="19" fillId="0" borderId="0" xfId="1" applyNumberFormat="1" applyFont="1" applyBorder="1" applyAlignment="1" applyProtection="1">
      <alignment horizontal="center"/>
      <protection hidden="1"/>
    </xf>
    <xf numFmtId="0" fontId="0" fillId="0" borderId="0" xfId="0" applyFont="1" applyBorder="1" applyAlignment="1">
      <alignment horizontal="left" vertical="center"/>
    </xf>
    <xf numFmtId="0" fontId="11" fillId="0" borderId="59" xfId="69" applyFont="1" applyFill="1" applyBorder="1" applyAlignment="1" applyProtection="1">
      <alignment horizontal="center"/>
      <protection hidden="1"/>
    </xf>
    <xf numFmtId="0" fontId="16" fillId="0" borderId="59" xfId="69" applyFont="1" applyFill="1" applyBorder="1" applyAlignment="1" applyProtection="1">
      <alignment horizontal="center" vertical="center" wrapText="1"/>
      <protection hidden="1"/>
    </xf>
    <xf numFmtId="41" fontId="68" fillId="6" borderId="5" xfId="69" applyNumberFormat="1" applyFont="1" applyFill="1" applyBorder="1" applyAlignment="1">
      <alignment horizontal="center" vertical="center" wrapText="1"/>
    </xf>
    <xf numFmtId="0" fontId="59" fillId="0" borderId="0" xfId="6" applyFont="1" applyFill="1" applyBorder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Fill="1" applyAlignment="1">
      <alignment vertical="center"/>
    </xf>
    <xf numFmtId="0" fontId="76" fillId="0" borderId="0" xfId="6" applyFont="1" applyFill="1" applyAlignment="1">
      <alignment vertical="center"/>
    </xf>
    <xf numFmtId="0" fontId="5" fillId="0" borderId="0" xfId="72" applyFont="1" applyFill="1" applyAlignment="1" applyProtection="1">
      <alignment horizontal="left" vertical="center"/>
      <protection hidden="1"/>
    </xf>
    <xf numFmtId="0" fontId="43" fillId="0" borderId="0" xfId="46" applyFont="1" applyBorder="1" applyAlignment="1">
      <alignment horizontal="left" vertical="center" wrapText="1"/>
    </xf>
    <xf numFmtId="0" fontId="41" fillId="0" borderId="0" xfId="46" applyAlignment="1">
      <alignment horizontal="left" vertical="center"/>
    </xf>
    <xf numFmtId="0" fontId="7" fillId="0" borderId="0" xfId="46" applyFont="1" applyBorder="1"/>
    <xf numFmtId="0" fontId="1" fillId="0" borderId="0" xfId="74" applyBorder="1"/>
    <xf numFmtId="0" fontId="14" fillId="0" borderId="0" xfId="46" applyFont="1" applyFill="1" applyBorder="1" applyAlignment="1">
      <alignment horizontal="left" vertical="center" indent="1"/>
    </xf>
    <xf numFmtId="0" fontId="18" fillId="0" borderId="59" xfId="69" applyFont="1" applyFill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>
      <alignment vertical="center"/>
    </xf>
    <xf numFmtId="0" fontId="0" fillId="0" borderId="59" xfId="0" applyBorder="1" applyAlignment="1">
      <alignment horizontal="left" vertical="center"/>
    </xf>
    <xf numFmtId="0" fontId="11" fillId="0" borderId="59" xfId="0" applyFont="1" applyBorder="1" applyAlignment="1">
      <alignment vertical="center" wrapText="1"/>
    </xf>
    <xf numFmtId="169" fontId="11" fillId="0" borderId="59" xfId="118" applyNumberFormat="1" applyFont="1" applyBorder="1" applyAlignment="1">
      <alignment horizontal="right" vertical="center" wrapText="1"/>
    </xf>
    <xf numFmtId="0" fontId="11" fillId="0" borderId="59" xfId="0" applyFont="1" applyBorder="1" applyAlignment="1">
      <alignment horizontal="center" vertical="center"/>
    </xf>
    <xf numFmtId="169" fontId="11" fillId="0" borderId="59" xfId="118" applyNumberFormat="1" applyFont="1" applyBorder="1" applyAlignment="1">
      <alignment horizontal="center" vertical="center"/>
    </xf>
    <xf numFmtId="9" fontId="11" fillId="0" borderId="59" xfId="0" applyNumberFormat="1" applyFont="1" applyBorder="1" applyAlignment="1">
      <alignment horizontal="right"/>
    </xf>
    <xf numFmtId="0" fontId="61" fillId="0" borderId="0" xfId="46" applyFont="1" applyFill="1"/>
    <xf numFmtId="49" fontId="30" fillId="0" borderId="0" xfId="0" applyNumberFormat="1" applyFont="1" applyAlignment="1"/>
    <xf numFmtId="41" fontId="59" fillId="6" borderId="59" xfId="69" applyNumberFormat="1" applyFont="1" applyFill="1" applyBorder="1" applyAlignment="1">
      <alignment horizontal="center" vertical="center" wrapText="1"/>
    </xf>
    <xf numFmtId="41" fontId="59" fillId="0" borderId="59" xfId="69" applyNumberFormat="1" applyFont="1" applyFill="1" applyBorder="1" applyAlignment="1">
      <alignment horizontal="center" vertical="center" wrapText="1"/>
    </xf>
    <xf numFmtId="0" fontId="57" fillId="0" borderId="0" xfId="0" applyFont="1"/>
    <xf numFmtId="0" fontId="7" fillId="0" borderId="5" xfId="0" applyFont="1" applyFill="1" applyBorder="1" applyAlignment="1">
      <alignment horizontal="center" vertical="center" wrapText="1"/>
    </xf>
    <xf numFmtId="0" fontId="0" fillId="0" borderId="0" xfId="0"/>
    <xf numFmtId="41" fontId="0" fillId="0" borderId="0" xfId="0" applyNumberFormat="1" applyFill="1"/>
    <xf numFmtId="41" fontId="59" fillId="6" borderId="5" xfId="69" applyNumberFormat="1" applyFont="1" applyFill="1" applyBorder="1" applyAlignment="1">
      <alignment horizontal="center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41" fontId="68" fillId="0" borderId="5" xfId="69" applyNumberFormat="1" applyFont="1" applyFill="1" applyBorder="1" applyAlignment="1">
      <alignment horizontal="center" vertical="center" wrapText="1"/>
    </xf>
    <xf numFmtId="0" fontId="43" fillId="9" borderId="59" xfId="46" applyFont="1" applyFill="1" applyBorder="1" applyAlignment="1">
      <alignment horizontal="center" vertical="center"/>
    </xf>
    <xf numFmtId="0" fontId="43" fillId="9" borderId="59" xfId="46" applyFont="1" applyFill="1" applyBorder="1" applyAlignment="1">
      <alignment horizontal="left" vertical="center"/>
    </xf>
    <xf numFmtId="0" fontId="62" fillId="0" borderId="59" xfId="60" applyBorder="1"/>
    <xf numFmtId="0" fontId="33" fillId="0" borderId="0" xfId="60" applyFont="1"/>
    <xf numFmtId="0" fontId="33" fillId="0" borderId="0" xfId="60" applyFont="1" applyAlignment="1">
      <alignment vertical="center"/>
    </xf>
    <xf numFmtId="9" fontId="62" fillId="0" borderId="0" xfId="60" applyNumberFormat="1" applyAlignment="1">
      <alignment horizontal="left"/>
    </xf>
    <xf numFmtId="0" fontId="57" fillId="0" borderId="0" xfId="60" applyFont="1"/>
    <xf numFmtId="0" fontId="42" fillId="0" borderId="0" xfId="46" applyFont="1" applyFill="1" applyAlignment="1">
      <alignment wrapText="1"/>
    </xf>
    <xf numFmtId="0" fontId="62" fillId="0" borderId="0" xfId="60" applyBorder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19" fillId="0" borderId="0" xfId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>
      <alignment vertical="center"/>
    </xf>
    <xf numFmtId="0" fontId="1" fillId="0" borderId="0" xfId="74" applyFill="1" applyBorder="1"/>
    <xf numFmtId="0" fontId="7" fillId="0" borderId="0" xfId="0" applyFont="1" applyFill="1" applyBorder="1"/>
    <xf numFmtId="168" fontId="0" fillId="0" borderId="0" xfId="0" applyNumberFormat="1" applyFont="1" applyFill="1" applyBorder="1"/>
    <xf numFmtId="41" fontId="0" fillId="0" borderId="0" xfId="0" applyNumberFormat="1" applyFill="1" applyBorder="1"/>
    <xf numFmtId="0" fontId="131" fillId="0" borderId="0" xfId="46" applyFont="1"/>
    <xf numFmtId="0" fontId="12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12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11" fillId="0" borderId="0" xfId="0" applyFont="1" applyFill="1" applyBorder="1" applyAlignment="1">
      <alignment horizontal="left" vertical="top" wrapText="1" indent="6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/>
    </xf>
    <xf numFmtId="0" fontId="12" fillId="0" borderId="0" xfId="0" applyFont="1" applyFill="1" applyBorder="1"/>
    <xf numFmtId="0" fontId="17" fillId="7" borderId="61" xfId="0" applyFont="1" applyFill="1" applyBorder="1" applyAlignment="1">
      <alignment vertical="center" wrapText="1"/>
    </xf>
    <xf numFmtId="0" fontId="19" fillId="0" borderId="0" xfId="1" applyFont="1" applyFill="1" applyBorder="1" applyAlignment="1" applyProtection="1">
      <protection hidden="1"/>
    </xf>
    <xf numFmtId="0" fontId="133" fillId="0" borderId="0" xfId="284" applyFont="1" applyAlignment="1" applyProtection="1">
      <alignment horizontal="left"/>
      <protection hidden="1"/>
    </xf>
    <xf numFmtId="0" fontId="52" fillId="0" borderId="0" xfId="46" applyFont="1" applyFill="1" applyBorder="1"/>
    <xf numFmtId="0" fontId="82" fillId="0" borderId="0" xfId="46" applyFont="1" applyFill="1" applyBorder="1"/>
    <xf numFmtId="0" fontId="41" fillId="0" borderId="0" xfId="46" applyFill="1" applyBorder="1" applyAlignment="1"/>
    <xf numFmtId="170" fontId="130" fillId="0" borderId="59" xfId="60" applyNumberFormat="1" applyFont="1" applyBorder="1"/>
    <xf numFmtId="0" fontId="0" fillId="0" borderId="0" xfId="0" applyFont="1"/>
    <xf numFmtId="0" fontId="7" fillId="0" borderId="0" xfId="74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0" fontId="130" fillId="0" borderId="59" xfId="60" applyNumberFormat="1" applyFont="1" applyBorder="1" applyAlignment="1">
      <alignment vertical="center"/>
    </xf>
    <xf numFmtId="41" fontId="59" fillId="6" borderId="59" xfId="75" applyNumberFormat="1" applyFont="1" applyFill="1" applyBorder="1" applyAlignment="1">
      <alignment horizontal="center" vertical="center" wrapText="1"/>
    </xf>
    <xf numFmtId="41" fontId="59" fillId="0" borderId="59" xfId="75" applyNumberFormat="1" applyFont="1" applyFill="1" applyBorder="1" applyAlignment="1">
      <alignment horizontal="center" vertical="center" wrapText="1"/>
    </xf>
    <xf numFmtId="0" fontId="43" fillId="0" borderId="0" xfId="46" applyFont="1" applyFill="1" applyBorder="1" applyAlignment="1">
      <alignment horizontal="left" vertical="center" wrapText="1"/>
    </xf>
    <xf numFmtId="0" fontId="1" fillId="0" borderId="0" xfId="74" applyFont="1" applyFill="1" applyBorder="1"/>
    <xf numFmtId="41" fontId="59" fillId="0" borderId="0" xfId="75" applyNumberFormat="1" applyFont="1" applyFill="1" applyBorder="1" applyAlignment="1">
      <alignment horizontal="center" vertical="center" wrapText="1"/>
    </xf>
    <xf numFmtId="41" fontId="59" fillId="0" borderId="0" xfId="75" applyNumberFormat="1" applyFont="1" applyFill="1" applyBorder="1" applyAlignment="1">
      <alignment horizontal="right" vertical="center" wrapText="1"/>
    </xf>
    <xf numFmtId="0" fontId="43" fillId="0" borderId="0" xfId="46" applyFont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65" fillId="0" borderId="0" xfId="74" applyFont="1"/>
    <xf numFmtId="0" fontId="134" fillId="0" borderId="0" xfId="284" applyFont="1" applyAlignment="1" applyProtection="1">
      <alignment horizontal="left"/>
      <protection hidden="1"/>
    </xf>
    <xf numFmtId="0" fontId="62" fillId="0" borderId="0" xfId="60" applyAlignment="1">
      <alignment wrapText="1"/>
    </xf>
    <xf numFmtId="170" fontId="130" fillId="0" borderId="59" xfId="60" applyNumberFormat="1" applyFont="1" applyBorder="1" applyAlignment="1">
      <alignment vertical="center" wrapText="1"/>
    </xf>
    <xf numFmtId="0" fontId="62" fillId="0" borderId="0" xfId="60" applyAlignment="1">
      <alignment horizontal="left"/>
    </xf>
    <xf numFmtId="170" fontId="130" fillId="0" borderId="59" xfId="287" applyNumberFormat="1" applyFont="1" applyBorder="1" applyAlignment="1">
      <alignment horizontal="left" vertical="top" wrapText="1"/>
    </xf>
    <xf numFmtId="0" fontId="12" fillId="0" borderId="59" xfId="60" applyFont="1" applyBorder="1" applyAlignment="1">
      <alignment horizontal="left" vertical="center" wrapText="1"/>
    </xf>
    <xf numFmtId="0" fontId="129" fillId="0" borderId="0" xfId="46" applyFont="1" applyAlignment="1">
      <alignment vertical="center"/>
    </xf>
    <xf numFmtId="0" fontId="129" fillId="0" borderId="0" xfId="46" applyFont="1"/>
    <xf numFmtId="171" fontId="33" fillId="0" borderId="0" xfId="80" applyNumberFormat="1" applyFont="1"/>
    <xf numFmtId="0" fontId="33" fillId="0" borderId="0" xfId="80" applyFont="1"/>
    <xf numFmtId="0" fontId="7" fillId="0" borderId="0" xfId="80" applyFont="1"/>
    <xf numFmtId="0" fontId="7" fillId="0" borderId="0" xfId="60" applyFont="1"/>
    <xf numFmtId="0" fontId="135" fillId="0" borderId="0" xfId="60" applyFont="1"/>
    <xf numFmtId="0" fontId="136" fillId="0" borderId="0" xfId="60" applyFont="1"/>
    <xf numFmtId="0" fontId="135" fillId="0" borderId="0" xfId="60" applyFont="1" applyAlignment="1">
      <alignment horizontal="left" vertical="center"/>
    </xf>
    <xf numFmtId="0" fontId="64" fillId="0" borderId="0" xfId="60" applyFont="1" applyAlignment="1">
      <alignment horizontal="center"/>
    </xf>
    <xf numFmtId="0" fontId="135" fillId="0" borderId="59" xfId="60" applyFont="1" applyBorder="1" applyAlignment="1">
      <alignment horizontal="center" vertical="center"/>
    </xf>
    <xf numFmtId="0" fontId="138" fillId="0" borderId="59" xfId="60" applyFont="1" applyBorder="1" applyAlignment="1">
      <alignment vertical="center"/>
    </xf>
    <xf numFmtId="0" fontId="137" fillId="0" borderId="59" xfId="60" applyFont="1" applyBorder="1" applyAlignment="1">
      <alignment vertical="center"/>
    </xf>
    <xf numFmtId="0" fontId="136" fillId="0" borderId="59" xfId="60" applyFont="1" applyBorder="1"/>
    <xf numFmtId="0" fontId="34" fillId="0" borderId="0" xfId="60" applyFont="1" applyAlignment="1">
      <alignment horizontal="left" vertical="center"/>
    </xf>
    <xf numFmtId="0" fontId="139" fillId="6" borderId="65" xfId="0" applyFont="1" applyFill="1" applyBorder="1" applyAlignment="1">
      <alignment horizontal="center" vertical="center" wrapText="1"/>
    </xf>
    <xf numFmtId="0" fontId="140" fillId="6" borderId="65" xfId="0" applyFont="1" applyFill="1" applyBorder="1" applyAlignment="1">
      <alignment horizontal="center" vertical="center" wrapText="1"/>
    </xf>
    <xf numFmtId="0" fontId="139" fillId="0" borderId="65" xfId="0" applyFont="1" applyBorder="1" applyAlignment="1">
      <alignment horizontal="justify" vertical="center" wrapText="1"/>
    </xf>
    <xf numFmtId="0" fontId="140" fillId="0" borderId="65" xfId="0" applyFont="1" applyBorder="1" applyAlignment="1">
      <alignment horizontal="justify" vertical="center" wrapText="1"/>
    </xf>
    <xf numFmtId="0" fontId="139" fillId="0" borderId="65" xfId="0" applyFont="1" applyBorder="1" applyAlignment="1">
      <alignment horizontal="center" vertical="center" wrapText="1"/>
    </xf>
    <xf numFmtId="170" fontId="135" fillId="0" borderId="59" xfId="287" applyNumberFormat="1" applyFont="1" applyBorder="1" applyAlignment="1"/>
    <xf numFmtId="0" fontId="135" fillId="0" borderId="59" xfId="60" applyFont="1" applyBorder="1" applyAlignment="1">
      <alignment wrapText="1"/>
    </xf>
    <xf numFmtId="14" fontId="130" fillId="0" borderId="0" xfId="60" applyNumberFormat="1" applyFont="1" applyBorder="1" applyAlignment="1">
      <alignment vertical="center" wrapText="1"/>
    </xf>
    <xf numFmtId="0" fontId="43" fillId="0" borderId="0" xfId="46" applyFont="1" applyBorder="1" applyAlignment="1">
      <alignment horizontal="left" vertical="top" wrapText="1" indent="1"/>
    </xf>
    <xf numFmtId="0" fontId="33" fillId="0" borderId="59" xfId="60" applyFont="1" applyBorder="1" applyAlignment="1">
      <alignment vertical="center" wrapText="1"/>
    </xf>
    <xf numFmtId="0" fontId="135" fillId="0" borderId="59" xfId="60" applyFont="1" applyBorder="1"/>
    <xf numFmtId="0" fontId="33" fillId="0" borderId="59" xfId="60" applyFont="1" applyBorder="1" applyAlignment="1">
      <alignment horizontal="center" vertical="center"/>
    </xf>
    <xf numFmtId="0" fontId="37" fillId="0" borderId="0" xfId="69" applyFont="1" applyFill="1" applyAlignment="1" applyProtection="1">
      <alignment vertical="center"/>
      <protection hidden="1"/>
    </xf>
    <xf numFmtId="41" fontId="80" fillId="0" borderId="2" xfId="69" applyNumberFormat="1" applyFont="1" applyFill="1" applyBorder="1" applyAlignment="1">
      <alignment horizontal="center" vertical="center" wrapText="1"/>
    </xf>
    <xf numFmtId="41" fontId="68" fillId="0" borderId="11" xfId="0" applyNumberFormat="1" applyFont="1" applyFill="1" applyBorder="1" applyAlignment="1">
      <alignment horizontal="center" vertical="center" wrapText="1"/>
    </xf>
    <xf numFmtId="0" fontId="0" fillId="0" borderId="0" xfId="0" applyFont="1"/>
    <xf numFmtId="41" fontId="11" fillId="0" borderId="0" xfId="0" applyNumberFormat="1" applyFont="1" applyFill="1" applyBorder="1" applyAlignment="1">
      <alignment vertical="top"/>
    </xf>
    <xf numFmtId="41" fontId="14" fillId="0" borderId="0" xfId="0" applyNumberFormat="1" applyFont="1" applyFill="1" applyBorder="1" applyAlignment="1">
      <alignment vertical="top"/>
    </xf>
    <xf numFmtId="0" fontId="135" fillId="0" borderId="59" xfId="60" applyFont="1" applyBorder="1" applyAlignment="1">
      <alignment vertical="top"/>
    </xf>
    <xf numFmtId="170" fontId="130" fillId="0" borderId="59" xfId="60" applyNumberFormat="1" applyFont="1" applyBorder="1" applyAlignment="1">
      <alignment horizontal="left" vertical="center" wrapText="1"/>
    </xf>
    <xf numFmtId="0" fontId="62" fillId="0" borderId="59" xfId="60" applyBorder="1" applyAlignment="1">
      <alignment horizontal="center" vertical="center"/>
    </xf>
    <xf numFmtId="0" fontId="62" fillId="0" borderId="59" xfId="60" applyBorder="1" applyAlignment="1">
      <alignment horizontal="left" wrapText="1"/>
    </xf>
    <xf numFmtId="0" fontId="0" fillId="0" borderId="0" xfId="0" applyFont="1"/>
    <xf numFmtId="41" fontId="59" fillId="6" borderId="5" xfId="69" applyNumberFormat="1" applyFont="1" applyFill="1" applyBorder="1" applyAlignment="1">
      <alignment horizontal="center" vertical="center" wrapText="1"/>
    </xf>
    <xf numFmtId="0" fontId="142" fillId="0" borderId="59" xfId="0" applyFont="1" applyBorder="1" applyAlignment="1" applyProtection="1">
      <alignment vertical="center" wrapText="1"/>
      <protection hidden="1"/>
    </xf>
    <xf numFmtId="9" fontId="74" fillId="2" borderId="59" xfId="14" applyFont="1" applyFill="1" applyBorder="1" applyAlignment="1" applyProtection="1">
      <alignment horizontal="right" vertical="center" wrapText="1"/>
      <protection hidden="1"/>
    </xf>
    <xf numFmtId="9" fontId="74" fillId="8" borderId="59" xfId="14" applyFont="1" applyFill="1" applyBorder="1" applyAlignment="1" applyProtection="1">
      <alignment horizontal="right" vertical="center" wrapText="1"/>
      <protection hidden="1"/>
    </xf>
    <xf numFmtId="168" fontId="144" fillId="8" borderId="59" xfId="0" applyNumberFormat="1" applyFont="1" applyFill="1" applyBorder="1" applyAlignment="1" applyProtection="1">
      <alignment horizontal="right" vertical="center" wrapText="1"/>
      <protection hidden="1"/>
    </xf>
    <xf numFmtId="9" fontId="0" fillId="0" borderId="0" xfId="14" applyFont="1" applyFill="1"/>
    <xf numFmtId="9" fontId="14" fillId="0" borderId="0" xfId="14" applyFont="1" applyFill="1" applyBorder="1" applyAlignment="1">
      <alignment vertical="top"/>
    </xf>
    <xf numFmtId="0" fontId="0" fillId="0" borderId="0" xfId="0" applyFill="1" applyBorder="1" applyProtection="1">
      <protection locked="0" hidden="1"/>
    </xf>
    <xf numFmtId="9" fontId="0" fillId="0" borderId="0" xfId="14" applyFont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 hidden="1"/>
    </xf>
    <xf numFmtId="0" fontId="0" fillId="0" borderId="59" xfId="0" applyBorder="1" applyAlignment="1" applyProtection="1">
      <alignment vertical="center"/>
      <protection locked="0" hidden="1"/>
    </xf>
    <xf numFmtId="0" fontId="7" fillId="0" borderId="59" xfId="0" applyFont="1" applyBorder="1" applyAlignment="1" applyProtection="1">
      <alignment horizontal="center" vertical="center" wrapText="1"/>
      <protection locked="0" hidden="1"/>
    </xf>
    <xf numFmtId="0" fontId="7" fillId="0" borderId="0" xfId="0" applyFont="1" applyProtection="1">
      <protection locked="0"/>
    </xf>
    <xf numFmtId="168" fontId="18" fillId="2" borderId="5" xfId="0" applyNumberFormat="1" applyFont="1" applyFill="1" applyBorder="1" applyAlignment="1" applyProtection="1">
      <alignment horizontal="left" vertical="center" wrapText="1"/>
      <protection locked="0" hidden="1"/>
    </xf>
    <xf numFmtId="9" fontId="18" fillId="2" borderId="5" xfId="0" applyNumberFormat="1" applyFont="1" applyFill="1" applyBorder="1" applyAlignment="1" applyProtection="1">
      <alignment horizontal="right" vertical="center" wrapText="1"/>
      <protection locked="0"/>
    </xf>
    <xf numFmtId="168" fontId="15" fillId="6" borderId="59" xfId="0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5" xfId="0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0" applyFont="1" applyFill="1" applyProtection="1">
      <protection locked="0"/>
    </xf>
    <xf numFmtId="168" fontId="86" fillId="0" borderId="59" xfId="0" applyNumberFormat="1" applyFont="1" applyFill="1" applyBorder="1" applyAlignment="1" applyProtection="1">
      <alignment horizontal="right" vertical="center" wrapText="1"/>
      <protection locked="0" hidden="1"/>
    </xf>
    <xf numFmtId="4" fontId="86" fillId="0" borderId="59" xfId="77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59" xfId="0" applyNumberFormat="1" applyFont="1" applyFill="1" applyBorder="1" applyAlignment="1" applyProtection="1">
      <alignment horizontal="right" vertical="center" wrapText="1"/>
      <protection locked="0"/>
    </xf>
    <xf numFmtId="0" fontId="78" fillId="0" borderId="0" xfId="0" applyFont="1" applyProtection="1">
      <protection locked="0"/>
    </xf>
    <xf numFmtId="0" fontId="78" fillId="0" borderId="0" xfId="0" applyFont="1" applyProtection="1">
      <protection locked="0" hidden="1"/>
    </xf>
    <xf numFmtId="9" fontId="0" fillId="0" borderId="0" xfId="14" applyFont="1" applyAlignment="1" applyProtection="1">
      <alignment horizontal="center" wrapText="1"/>
      <protection locked="0"/>
    </xf>
    <xf numFmtId="0" fontId="0" fillId="0" borderId="0" xfId="0" applyAlignment="1" applyProtection="1">
      <alignment vertical="center"/>
      <protection locked="0"/>
    </xf>
    <xf numFmtId="9" fontId="143" fillId="2" borderId="5" xfId="0" applyNumberFormat="1" applyFont="1" applyFill="1" applyBorder="1" applyAlignment="1" applyProtection="1">
      <alignment horizontal="right" vertical="center" wrapText="1"/>
    </xf>
    <xf numFmtId="0" fontId="70" fillId="0" borderId="0" xfId="79" applyFont="1" applyBorder="1" applyAlignment="1">
      <alignment vertical="center" wrapText="1"/>
    </xf>
    <xf numFmtId="0" fontId="69" fillId="0" borderId="0" xfId="0" applyFont="1" applyBorder="1" applyAlignment="1">
      <alignment vertical="center"/>
    </xf>
    <xf numFmtId="43" fontId="14" fillId="0" borderId="0" xfId="7" applyFont="1" applyFill="1" applyBorder="1" applyAlignment="1">
      <alignment vertical="top"/>
    </xf>
    <xf numFmtId="0" fontId="2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10" borderId="44" xfId="81" applyNumberFormat="1" applyFont="1" applyFill="1" applyBorder="1" applyAlignment="1" applyProtection="1">
      <alignment horizontal="right"/>
      <protection locked="0" hidden="1"/>
    </xf>
    <xf numFmtId="0" fontId="14" fillId="0" borderId="2" xfId="46" applyFont="1" applyBorder="1" applyAlignment="1">
      <alignment horizontal="left" vertical="center" indent="1"/>
    </xf>
    <xf numFmtId="3" fontId="74" fillId="62" borderId="59" xfId="69" applyNumberFormat="1" applyFont="1" applyFill="1" applyBorder="1" applyAlignment="1" applyProtection="1">
      <alignment vertical="center"/>
      <protection hidden="1"/>
    </xf>
    <xf numFmtId="3" fontId="15" fillId="5" borderId="59" xfId="69" applyNumberFormat="1" applyFont="1" applyFill="1" applyBorder="1" applyAlignment="1" applyProtection="1">
      <alignment vertical="center"/>
      <protection hidden="1"/>
    </xf>
    <xf numFmtId="3" fontId="15" fillId="58" borderId="59" xfId="69" applyNumberFormat="1" applyFont="1" applyFill="1" applyBorder="1" applyAlignment="1" applyProtection="1">
      <alignment vertical="center"/>
      <protection hidden="1"/>
    </xf>
    <xf numFmtId="3" fontId="74" fillId="61" borderId="59" xfId="69" applyNumberFormat="1" applyFont="1" applyFill="1" applyBorder="1" applyAlignment="1" applyProtection="1">
      <alignment vertical="center"/>
      <protection hidden="1"/>
    </xf>
    <xf numFmtId="3" fontId="74" fillId="57" borderId="59" xfId="69" applyNumberFormat="1" applyFont="1" applyFill="1" applyBorder="1" applyAlignment="1" applyProtection="1">
      <alignment vertical="center"/>
      <protection hidden="1"/>
    </xf>
    <xf numFmtId="3" fontId="74" fillId="6" borderId="59" xfId="69" applyNumberFormat="1" applyFont="1" applyFill="1" applyBorder="1" applyAlignment="1" applyProtection="1">
      <alignment vertical="center"/>
      <protection hidden="1"/>
    </xf>
    <xf numFmtId="3" fontId="15" fillId="6" borderId="59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Alignment="1" applyProtection="1">
      <alignment vertical="center"/>
      <protection hidden="1"/>
    </xf>
    <xf numFmtId="3" fontId="18" fillId="0" borderId="60" xfId="46" applyNumberFormat="1" applyFont="1" applyFill="1" applyBorder="1" applyAlignment="1">
      <alignment horizontal="left" vertical="center" wrapText="1" indent="1"/>
    </xf>
    <xf numFmtId="3" fontId="38" fillId="5" borderId="5" xfId="69" applyNumberFormat="1" applyFont="1" applyFill="1" applyBorder="1" applyAlignment="1">
      <alignment horizontal="center" vertical="center" wrapText="1"/>
    </xf>
    <xf numFmtId="3" fontId="15" fillId="5" borderId="5" xfId="69" applyNumberFormat="1" applyFont="1" applyFill="1" applyBorder="1" applyAlignment="1">
      <alignment horizontal="center" vertical="center" wrapText="1"/>
    </xf>
    <xf numFmtId="3" fontId="15" fillId="6" borderId="60" xfId="69" applyNumberFormat="1" applyFont="1" applyFill="1" applyBorder="1" applyAlignment="1">
      <alignment vertical="center" wrapText="1"/>
    </xf>
    <xf numFmtId="3" fontId="38" fillId="5" borderId="59" xfId="69" applyNumberFormat="1" applyFont="1" applyFill="1" applyBorder="1" applyAlignment="1" applyProtection="1">
      <alignment vertical="center"/>
      <protection hidden="1"/>
    </xf>
    <xf numFmtId="3" fontId="74" fillId="5" borderId="5" xfId="69" applyNumberFormat="1" applyFont="1" applyFill="1" applyBorder="1" applyAlignment="1">
      <alignment horizontal="center" vertical="center" wrapText="1"/>
    </xf>
    <xf numFmtId="3" fontId="15" fillId="5" borderId="59" xfId="69" applyNumberFormat="1" applyFont="1" applyFill="1" applyBorder="1" applyAlignment="1">
      <alignment horizontal="center" vertical="center" wrapText="1"/>
    </xf>
    <xf numFmtId="3" fontId="38" fillId="61" borderId="59" xfId="69" applyNumberFormat="1" applyFont="1" applyFill="1" applyBorder="1" applyAlignment="1" applyProtection="1">
      <alignment vertical="center"/>
      <protection hidden="1"/>
    </xf>
    <xf numFmtId="3" fontId="18" fillId="0" borderId="61" xfId="46" applyNumberFormat="1" applyFont="1" applyFill="1" applyBorder="1" applyAlignment="1">
      <alignment horizontal="left" vertical="center" wrapText="1" indent="1"/>
    </xf>
    <xf numFmtId="3" fontId="30" fillId="6" borderId="12" xfId="118" applyNumberFormat="1" applyFont="1" applyFill="1" applyBorder="1" applyAlignment="1">
      <alignment horizontal="center" vertical="center" wrapText="1"/>
    </xf>
    <xf numFmtId="3" fontId="15" fillId="58" borderId="60" xfId="69" applyNumberFormat="1" applyFont="1" applyFill="1" applyBorder="1" applyAlignment="1">
      <alignment vertical="center" wrapText="1"/>
    </xf>
    <xf numFmtId="3" fontId="15" fillId="58" borderId="60" xfId="69" applyNumberFormat="1" applyFont="1" applyFill="1" applyBorder="1" applyAlignment="1">
      <alignment horizontal="center" vertical="center" wrapText="1"/>
    </xf>
    <xf numFmtId="43" fontId="25" fillId="0" borderId="60" xfId="7" applyNumberFormat="1" applyFont="1" applyFill="1" applyBorder="1" applyAlignment="1">
      <alignment horizontal="left" vertical="center" wrapText="1" indent="1"/>
    </xf>
    <xf numFmtId="3" fontId="143" fillId="61" borderId="59" xfId="69" applyNumberFormat="1" applyFont="1" applyFill="1" applyBorder="1" applyAlignment="1" applyProtection="1">
      <alignment vertical="center"/>
      <protection hidden="1"/>
    </xf>
    <xf numFmtId="0" fontId="12" fillId="6" borderId="59" xfId="0" applyFont="1" applyFill="1" applyBorder="1" applyAlignment="1">
      <alignment horizontal="center" vertical="center" wrapText="1"/>
    </xf>
    <xf numFmtId="3" fontId="28" fillId="4" borderId="0" xfId="69" applyNumberFormat="1" applyFont="1" applyFill="1" applyBorder="1" applyAlignment="1">
      <alignment horizontal="left" vertical="center"/>
    </xf>
    <xf numFmtId="3" fontId="15" fillId="0" borderId="59" xfId="69" applyNumberFormat="1" applyFont="1" applyFill="1" applyBorder="1" applyAlignment="1" applyProtection="1">
      <alignment vertical="center"/>
      <protection hidden="1"/>
    </xf>
    <xf numFmtId="3" fontId="150" fillId="0" borderId="59" xfId="69" applyNumberFormat="1" applyFont="1" applyFill="1" applyBorder="1" applyAlignment="1" applyProtection="1">
      <alignment vertical="center"/>
      <protection hidden="1"/>
    </xf>
    <xf numFmtId="0" fontId="12" fillId="0" borderId="0" xfId="0" applyFont="1" applyAlignment="1"/>
    <xf numFmtId="0" fontId="12" fillId="8" borderId="59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58" borderId="59" xfId="0" applyFont="1" applyFill="1" applyBorder="1" applyAlignment="1">
      <alignment horizontal="center" vertical="center" wrapText="1"/>
    </xf>
    <xf numFmtId="0" fontId="12" fillId="60" borderId="59" xfId="0" applyFont="1" applyFill="1" applyBorder="1" applyAlignment="1">
      <alignment horizontal="center" vertical="center" wrapText="1"/>
    </xf>
    <xf numFmtId="171" fontId="1" fillId="0" borderId="59" xfId="7" applyNumberFormat="1" applyFont="1" applyFill="1" applyBorder="1" applyAlignment="1">
      <alignment horizontal="left"/>
    </xf>
    <xf numFmtId="0" fontId="12" fillId="2" borderId="59" xfId="0" applyFont="1" applyFill="1" applyBorder="1" applyAlignment="1">
      <alignment horizontal="center" vertical="center" wrapText="1"/>
    </xf>
    <xf numFmtId="3" fontId="11" fillId="0" borderId="0" xfId="0" applyNumberFormat="1" applyFont="1" applyAlignment="1">
      <alignment horizontal="right"/>
    </xf>
    <xf numFmtId="0" fontId="30" fillId="0" borderId="0" xfId="0" applyFont="1" applyAlignment="1">
      <alignment horizontal="right" vertical="top"/>
    </xf>
    <xf numFmtId="0" fontId="33" fillId="0" borderId="59" xfId="60" applyFont="1" applyBorder="1" applyAlignment="1">
      <alignment horizontal="left" wrapText="1"/>
    </xf>
    <xf numFmtId="0" fontId="33" fillId="0" borderId="59" xfId="60" applyFont="1" applyBorder="1"/>
    <xf numFmtId="0" fontId="135" fillId="0" borderId="11" xfId="60" applyFont="1" applyBorder="1"/>
    <xf numFmtId="0" fontId="62" fillId="0" borderId="11" xfId="60" applyBorder="1"/>
    <xf numFmtId="0" fontId="62" fillId="0" borderId="11" xfId="60" applyBorder="1" applyAlignment="1">
      <alignment horizontal="left" wrapText="1"/>
    </xf>
    <xf numFmtId="0" fontId="135" fillId="0" borderId="41" xfId="60" applyFont="1" applyBorder="1"/>
    <xf numFmtId="0" fontId="62" fillId="0" borderId="30" xfId="60" applyBorder="1"/>
    <xf numFmtId="0" fontId="141" fillId="0" borderId="27" xfId="60" applyFont="1" applyBorder="1"/>
    <xf numFmtId="0" fontId="62" fillId="0" borderId="27" xfId="60" applyBorder="1"/>
    <xf numFmtId="0" fontId="135" fillId="0" borderId="67" xfId="60" applyFont="1" applyBorder="1"/>
    <xf numFmtId="0" fontId="62" fillId="0" borderId="67" xfId="60" applyBorder="1"/>
    <xf numFmtId="0" fontId="33" fillId="0" borderId="67" xfId="60" applyFont="1" applyBorder="1" applyAlignment="1">
      <alignment horizontal="left" wrapText="1"/>
    </xf>
    <xf numFmtId="0" fontId="64" fillId="6" borderId="29" xfId="60" applyFont="1" applyFill="1" applyBorder="1" applyAlignment="1">
      <alignment horizontal="center" vertical="center" wrapText="1"/>
    </xf>
    <xf numFmtId="0" fontId="64" fillId="6" borderId="41" xfId="60" applyFont="1" applyFill="1" applyBorder="1" applyAlignment="1">
      <alignment horizontal="center" vertical="center" wrapText="1"/>
    </xf>
    <xf numFmtId="0" fontId="137" fillId="6" borderId="41" xfId="60" applyFont="1" applyFill="1" applyBorder="1" applyAlignment="1">
      <alignment horizontal="center" vertical="center" wrapText="1"/>
    </xf>
    <xf numFmtId="0" fontId="64" fillId="6" borderId="30" xfId="60" applyFont="1" applyFill="1" applyBorder="1" applyAlignment="1">
      <alignment horizontal="center" vertical="center" wrapText="1"/>
    </xf>
    <xf numFmtId="0" fontId="62" fillId="0" borderId="46" xfId="60" applyBorder="1"/>
    <xf numFmtId="0" fontId="141" fillId="6" borderId="27" xfId="60" applyFont="1" applyFill="1" applyBorder="1"/>
    <xf numFmtId="0" fontId="135" fillId="6" borderId="41" xfId="60" applyFont="1" applyFill="1" applyBorder="1" applyAlignment="1">
      <alignment vertical="center"/>
    </xf>
    <xf numFmtId="0" fontId="141" fillId="6" borderId="30" xfId="60" applyFont="1" applyFill="1" applyBorder="1"/>
    <xf numFmtId="0" fontId="135" fillId="6" borderId="59" xfId="60" applyFont="1" applyFill="1" applyBorder="1" applyAlignment="1">
      <alignment vertical="center"/>
    </xf>
    <xf numFmtId="0" fontId="135" fillId="6" borderId="67" xfId="60" applyFont="1" applyFill="1" applyBorder="1" applyAlignment="1">
      <alignment vertical="center"/>
    </xf>
    <xf numFmtId="0" fontId="33" fillId="6" borderId="67" xfId="60" applyFont="1" applyFill="1" applyBorder="1" applyAlignment="1">
      <alignment vertical="top" wrapText="1"/>
    </xf>
    <xf numFmtId="0" fontId="141" fillId="6" borderId="64" xfId="60" applyFont="1" applyFill="1" applyBorder="1"/>
    <xf numFmtId="9" fontId="7" fillId="0" borderId="0" xfId="0" applyNumberFormat="1" applyFont="1" applyProtection="1">
      <protection locked="0"/>
    </xf>
    <xf numFmtId="0" fontId="153" fillId="0" borderId="59" xfId="0" applyFont="1" applyBorder="1" applyAlignment="1" applyProtection="1">
      <alignment horizontal="center" vertical="center" wrapText="1"/>
      <protection locked="0" hidden="1"/>
    </xf>
    <xf numFmtId="9" fontId="155" fillId="2" borderId="5" xfId="0" applyNumberFormat="1" applyFont="1" applyFill="1" applyBorder="1" applyAlignment="1" applyProtection="1">
      <alignment horizontal="right" vertical="center" wrapText="1"/>
      <protection locked="0"/>
    </xf>
    <xf numFmtId="9" fontId="155" fillId="6" borderId="5" xfId="0" applyNumberFormat="1" applyFont="1" applyFill="1" applyBorder="1" applyAlignment="1" applyProtection="1">
      <alignment horizontal="right" vertical="center" wrapText="1"/>
      <protection locked="0"/>
    </xf>
    <xf numFmtId="0" fontId="135" fillId="0" borderId="12" xfId="60" applyFont="1" applyBorder="1"/>
    <xf numFmtId="0" fontId="33" fillId="0" borderId="12" xfId="60" applyFont="1" applyBorder="1" applyAlignment="1">
      <alignment horizontal="left" wrapText="1"/>
    </xf>
    <xf numFmtId="0" fontId="141" fillId="0" borderId="38" xfId="60" applyFont="1" applyBorder="1"/>
    <xf numFmtId="0" fontId="141" fillId="0" borderId="64" xfId="60" applyFont="1" applyBorder="1"/>
    <xf numFmtId="0" fontId="0" fillId="0" borderId="0" xfId="0" applyFont="1"/>
    <xf numFmtId="0" fontId="17" fillId="7" borderId="60" xfId="0" applyFont="1" applyFill="1" applyBorder="1" applyAlignment="1">
      <alignment vertical="center"/>
    </xf>
    <xf numFmtId="0" fontId="17" fillId="7" borderId="61" xfId="0" applyFont="1" applyFill="1" applyBorder="1" applyAlignment="1">
      <alignment vertical="center"/>
    </xf>
    <xf numFmtId="0" fontId="135" fillId="0" borderId="59" xfId="60" applyFont="1" applyBorder="1" applyAlignment="1">
      <alignment horizontal="center" vertical="center" wrapText="1"/>
    </xf>
    <xf numFmtId="0" fontId="135" fillId="0" borderId="42" xfId="60" applyFont="1" applyBorder="1" applyAlignment="1">
      <alignment horizontal="center" vertical="center" wrapText="1"/>
    </xf>
    <xf numFmtId="170" fontId="130" fillId="0" borderId="59" xfId="287" applyNumberFormat="1" applyFont="1" applyBorder="1" applyAlignment="1">
      <alignment horizontal="left"/>
    </xf>
    <xf numFmtId="0" fontId="135" fillId="0" borderId="59" xfId="60" applyFont="1" applyBorder="1" applyAlignment="1">
      <alignment horizontal="left" vertical="center" wrapText="1"/>
    </xf>
    <xf numFmtId="0" fontId="135" fillId="0" borderId="14" xfId="60" applyFont="1" applyBorder="1" applyAlignment="1">
      <alignment vertical="center"/>
    </xf>
    <xf numFmtId="0" fontId="33" fillId="0" borderId="14" xfId="60" applyFont="1" applyBorder="1" applyAlignment="1">
      <alignment horizontal="left" wrapText="1"/>
    </xf>
    <xf numFmtId="0" fontId="33" fillId="0" borderId="14" xfId="60" applyFont="1" applyBorder="1" applyAlignment="1">
      <alignment horizontal="left" vertical="top" wrapText="1"/>
    </xf>
    <xf numFmtId="0" fontId="141" fillId="0" borderId="43" xfId="60" applyFont="1" applyBorder="1"/>
    <xf numFmtId="0" fontId="12" fillId="8" borderId="59" xfId="0" applyFont="1" applyFill="1" applyBorder="1" applyAlignment="1">
      <alignment horizontal="center" vertical="center" wrapText="1"/>
    </xf>
    <xf numFmtId="0" fontId="14" fillId="0" borderId="0" xfId="46" applyFont="1" applyBorder="1" applyAlignment="1">
      <alignment horizontal="left" vertical="center" indent="1"/>
    </xf>
    <xf numFmtId="0" fontId="16" fillId="0" borderId="0" xfId="0" applyFont="1" applyFill="1" applyBorder="1" applyAlignment="1">
      <alignment horizontal="left" vertical="center" wrapText="1" indent="1"/>
    </xf>
    <xf numFmtId="0" fontId="0" fillId="0" borderId="0" xfId="0" applyBorder="1"/>
    <xf numFmtId="172" fontId="0" fillId="0" borderId="0" xfId="0" applyNumberFormat="1" applyFill="1" applyBorder="1"/>
    <xf numFmtId="0" fontId="12" fillId="4" borderId="59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right"/>
    </xf>
    <xf numFmtId="2" fontId="0" fillId="0" borderId="59" xfId="0" applyNumberFormat="1" applyBorder="1"/>
    <xf numFmtId="41" fontId="64" fillId="0" borderId="71" xfId="0" applyNumberFormat="1" applyFont="1" applyFill="1" applyBorder="1" applyAlignment="1">
      <alignment horizontal="center" vertical="center" wrapText="1"/>
    </xf>
    <xf numFmtId="0" fontId="39" fillId="8" borderId="59" xfId="0" applyFont="1" applyFill="1" applyBorder="1" applyAlignment="1">
      <alignment horizontal="center" vertical="center" wrapText="1"/>
    </xf>
    <xf numFmtId="0" fontId="0" fillId="0" borderId="0" xfId="0" applyFont="1"/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16" fillId="6" borderId="71" xfId="0" applyFont="1" applyFill="1" applyBorder="1" applyAlignment="1">
      <alignment horizontal="left" vertical="center" wrapText="1" indent="1"/>
    </xf>
    <xf numFmtId="0" fontId="30" fillId="0" borderId="5" xfId="0" applyFont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168" fontId="68" fillId="6" borderId="23" xfId="0" applyNumberFormat="1" applyFont="1" applyFill="1" applyBorder="1" applyAlignment="1">
      <alignment horizontal="center" vertical="center" wrapText="1"/>
    </xf>
    <xf numFmtId="41" fontId="59" fillId="3" borderId="25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ont="1"/>
    <xf numFmtId="0" fontId="11" fillId="0" borderId="0" xfId="0" applyFont="1" applyAlignment="1">
      <alignment horizontal="left" wrapText="1"/>
    </xf>
    <xf numFmtId="0" fontId="30" fillId="0" borderId="0" xfId="0" applyFont="1" applyFill="1" applyBorder="1"/>
    <xf numFmtId="0" fontId="65" fillId="0" borderId="0" xfId="0" applyFont="1" applyFill="1" applyBorder="1"/>
    <xf numFmtId="0" fontId="31" fillId="0" borderId="5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41" fontId="59" fillId="6" borderId="71" xfId="0" applyNumberFormat="1" applyFont="1" applyFill="1" applyBorder="1" applyAlignment="1">
      <alignment horizontal="center" vertical="center"/>
    </xf>
    <xf numFmtId="41" fontId="59" fillId="3" borderId="12" xfId="0" applyNumberFormat="1" applyFont="1" applyFill="1" applyBorder="1" applyAlignment="1">
      <alignment horizontal="center" vertical="center" wrapText="1"/>
    </xf>
    <xf numFmtId="41" fontId="59" fillId="6" borderId="7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68" fontId="68" fillId="0" borderId="0" xfId="0" applyNumberFormat="1" applyFont="1" applyFill="1" applyBorder="1" applyAlignment="1">
      <alignment vertical="center" wrapText="1"/>
    </xf>
    <xf numFmtId="168" fontId="75" fillId="0" borderId="0" xfId="0" applyNumberFormat="1" applyFont="1" applyFill="1" applyBorder="1" applyAlignment="1">
      <alignment vertical="center" wrapText="1"/>
    </xf>
    <xf numFmtId="41" fontId="19" fillId="0" borderId="0" xfId="0" applyNumberFormat="1" applyFont="1" applyFill="1" applyBorder="1" applyAlignment="1">
      <alignment vertical="center" wrapText="1"/>
    </xf>
    <xf numFmtId="41" fontId="54" fillId="0" borderId="0" xfId="0" applyNumberFormat="1" applyFont="1" applyFill="1" applyBorder="1" applyAlignment="1">
      <alignment vertical="center" wrapText="1"/>
    </xf>
    <xf numFmtId="41" fontId="68" fillId="0" borderId="0" xfId="0" applyNumberFormat="1" applyFont="1" applyFill="1" applyBorder="1" applyAlignment="1">
      <alignment vertical="center" wrapText="1"/>
    </xf>
    <xf numFmtId="0" fontId="16" fillId="0" borderId="0" xfId="13" applyFont="1" applyFill="1" applyAlignment="1">
      <alignment vertical="top" wrapText="1"/>
    </xf>
    <xf numFmtId="41" fontId="59" fillId="0" borderId="71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1" fontId="59" fillId="6" borderId="12" xfId="0" applyNumberFormat="1" applyFont="1" applyFill="1" applyBorder="1" applyAlignment="1">
      <alignment horizontal="center" vertical="center"/>
    </xf>
    <xf numFmtId="41" fontId="59" fillId="6" borderId="11" xfId="0" applyNumberFormat="1" applyFont="1" applyFill="1" applyBorder="1" applyAlignment="1">
      <alignment horizontal="center" vertical="center"/>
    </xf>
    <xf numFmtId="41" fontId="59" fillId="0" borderId="3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vertical="center" wrapText="1"/>
    </xf>
    <xf numFmtId="43" fontId="59" fillId="6" borderId="11" xfId="0" applyNumberFormat="1" applyFont="1" applyFill="1" applyBorder="1" applyAlignment="1">
      <alignment horizontal="center" vertical="center" wrapText="1"/>
    </xf>
    <xf numFmtId="43" fontId="59" fillId="0" borderId="73" xfId="0" applyNumberFormat="1" applyFont="1" applyFill="1" applyBorder="1" applyAlignment="1">
      <alignment horizontal="center" vertical="center" wrapText="1"/>
    </xf>
    <xf numFmtId="0" fontId="11" fillId="0" borderId="0" xfId="0" applyFont="1" applyBorder="1"/>
    <xf numFmtId="171" fontId="65" fillId="0" borderId="0" xfId="7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0" fontId="60" fillId="0" borderId="0" xfId="80" applyFont="1" applyBorder="1" applyAlignment="1">
      <alignment horizontal="center" vertical="center"/>
    </xf>
    <xf numFmtId="0" fontId="17" fillId="7" borderId="69" xfId="0" applyFont="1" applyFill="1" applyBorder="1" applyAlignment="1">
      <alignment vertical="center" wrapText="1"/>
    </xf>
    <xf numFmtId="41" fontId="68" fillId="0" borderId="63" xfId="0" applyNumberFormat="1" applyFont="1" applyFill="1" applyBorder="1" applyAlignment="1">
      <alignment horizontal="center" vertical="center" wrapText="1"/>
    </xf>
    <xf numFmtId="41" fontId="59" fillId="0" borderId="71" xfId="0" applyNumberFormat="1" applyFont="1" applyFill="1" applyBorder="1" applyAlignment="1">
      <alignment horizontal="center" vertical="center"/>
    </xf>
    <xf numFmtId="0" fontId="12" fillId="8" borderId="71" xfId="0" applyFont="1" applyFill="1" applyBorder="1" applyAlignment="1">
      <alignment horizontal="center" vertical="center" wrapText="1"/>
    </xf>
    <xf numFmtId="0" fontId="11" fillId="6" borderId="71" xfId="0" applyFont="1" applyFill="1" applyBorder="1"/>
    <xf numFmtId="0" fontId="7" fillId="0" borderId="0" xfId="0" applyFont="1" applyAlignment="1">
      <alignment vertical="center"/>
    </xf>
    <xf numFmtId="0" fontId="16" fillId="0" borderId="74" xfId="0" applyFont="1" applyFill="1" applyBorder="1" applyAlignment="1">
      <alignment horizontal="left" vertical="center" wrapText="1" indent="1"/>
    </xf>
    <xf numFmtId="41" fontId="59" fillId="0" borderId="14" xfId="0" applyNumberFormat="1" applyFont="1" applyFill="1" applyBorder="1" applyAlignment="1">
      <alignment horizontal="center" vertical="center"/>
    </xf>
    <xf numFmtId="41" fontId="59" fillId="6" borderId="10" xfId="0" applyNumberFormat="1" applyFont="1" applyFill="1" applyBorder="1" applyAlignment="1">
      <alignment horizontal="center" vertical="center"/>
    </xf>
    <xf numFmtId="0" fontId="17" fillId="7" borderId="69" xfId="0" applyFont="1" applyFill="1" applyBorder="1" applyAlignment="1">
      <alignment vertical="center"/>
    </xf>
    <xf numFmtId="9" fontId="15" fillId="3" borderId="34" xfId="68" applyFont="1" applyFill="1" applyBorder="1" applyAlignment="1">
      <alignment horizontal="center" vertical="center"/>
    </xf>
    <xf numFmtId="167" fontId="15" fillId="6" borderId="11" xfId="0" applyNumberFormat="1" applyFont="1" applyFill="1" applyBorder="1" applyAlignment="1">
      <alignment horizontal="center" vertical="center"/>
    </xf>
    <xf numFmtId="41" fontId="59" fillId="6" borderId="63" xfId="0" applyNumberFormat="1" applyFont="1" applyFill="1" applyBorder="1" applyAlignment="1">
      <alignment horizontal="center" vertical="center" wrapText="1"/>
    </xf>
    <xf numFmtId="168" fontId="19" fillId="0" borderId="0" xfId="1" applyNumberFormat="1" applyFont="1" applyFill="1" applyAlignment="1" applyProtection="1">
      <alignment horizontal="center"/>
      <protection hidden="1"/>
    </xf>
    <xf numFmtId="9" fontId="155" fillId="8" borderId="59" xfId="14" applyFont="1" applyFill="1" applyBorder="1" applyAlignment="1" applyProtection="1">
      <alignment horizontal="right" vertical="center" wrapText="1"/>
      <protection hidden="1"/>
    </xf>
    <xf numFmtId="168" fontId="155" fillId="6" borderId="59" xfId="0" applyNumberFormat="1" applyFont="1" applyFill="1" applyBorder="1" applyAlignment="1" applyProtection="1">
      <alignment horizontal="right" vertical="center" wrapText="1"/>
      <protection locked="0" hidden="1"/>
    </xf>
    <xf numFmtId="4" fontId="159" fillId="6" borderId="5" xfId="77" applyNumberFormat="1" applyFont="1" applyFill="1" applyBorder="1" applyAlignment="1" applyProtection="1">
      <alignment horizontal="right" vertical="center" wrapText="1"/>
      <protection locked="0" hidden="1"/>
    </xf>
    <xf numFmtId="9" fontId="159" fillId="6" borderId="5" xfId="0" applyNumberFormat="1" applyFont="1" applyFill="1" applyBorder="1" applyAlignment="1" applyProtection="1">
      <alignment horizontal="right" vertical="center" wrapText="1"/>
      <protection locked="0"/>
    </xf>
    <xf numFmtId="0" fontId="153" fillId="0" borderId="0" xfId="0" applyFont="1" applyProtection="1">
      <protection locked="0"/>
    </xf>
    <xf numFmtId="0" fontId="160" fillId="0" borderId="0" xfId="0" applyFont="1" applyFill="1" applyProtection="1">
      <protection locked="0"/>
    </xf>
    <xf numFmtId="9" fontId="153" fillId="0" borderId="0" xfId="14" applyFont="1" applyProtection="1">
      <protection locked="0"/>
    </xf>
    <xf numFmtId="168" fontId="160" fillId="8" borderId="59" xfId="0" applyNumberFormat="1" applyFont="1" applyFill="1" applyBorder="1" applyAlignment="1" applyProtection="1">
      <alignment horizontal="right" vertical="center" wrapText="1"/>
      <protection hidden="1"/>
    </xf>
    <xf numFmtId="168" fontId="160" fillId="0" borderId="59" xfId="0" applyNumberFormat="1" applyFont="1" applyFill="1" applyBorder="1" applyAlignment="1" applyProtection="1">
      <alignment horizontal="right" vertical="center" wrapText="1"/>
      <protection locked="0" hidden="1"/>
    </xf>
    <xf numFmtId="4" fontId="160" fillId="0" borderId="59" xfId="77" applyNumberFormat="1" applyFont="1" applyFill="1" applyBorder="1" applyAlignment="1" applyProtection="1">
      <alignment horizontal="right" vertical="center" wrapText="1"/>
      <protection locked="0" hidden="1"/>
    </xf>
    <xf numFmtId="9" fontId="160" fillId="0" borderId="0" xfId="14" applyFont="1" applyFill="1" applyProtection="1">
      <protection locked="0"/>
    </xf>
    <xf numFmtId="0" fontId="161" fillId="0" borderId="0" xfId="0" applyFont="1" applyProtection="1">
      <protection locked="0"/>
    </xf>
    <xf numFmtId="9" fontId="155" fillId="2" borderId="59" xfId="14" applyFont="1" applyFill="1" applyBorder="1" applyAlignment="1" applyProtection="1">
      <alignment horizontal="right" vertical="center" wrapText="1"/>
      <protection hidden="1"/>
    </xf>
    <xf numFmtId="4" fontId="159" fillId="2" borderId="5" xfId="77" applyNumberFormat="1" applyFont="1" applyFill="1" applyBorder="1" applyAlignment="1" applyProtection="1">
      <alignment horizontal="right" vertical="center" wrapText="1"/>
      <protection locked="0" hidden="1"/>
    </xf>
    <xf numFmtId="9" fontId="159" fillId="2" borderId="5" xfId="0" applyNumberFormat="1" applyFont="1" applyFill="1" applyBorder="1" applyAlignment="1" applyProtection="1">
      <alignment horizontal="right" vertical="center" wrapText="1"/>
      <protection locked="0"/>
    </xf>
    <xf numFmtId="43" fontId="153" fillId="0" borderId="0" xfId="7" applyFont="1" applyProtection="1">
      <protection locked="0" hidden="1"/>
    </xf>
    <xf numFmtId="43" fontId="153" fillId="0" borderId="59" xfId="7" applyFont="1" applyBorder="1" applyAlignment="1" applyProtection="1">
      <alignment vertical="center"/>
      <protection locked="0" hidden="1"/>
    </xf>
    <xf numFmtId="4" fontId="159" fillId="6" borderId="59" xfId="77" applyNumberFormat="1" applyFont="1" applyFill="1" applyBorder="1" applyAlignment="1" applyProtection="1">
      <alignment horizontal="right" vertical="center" wrapText="1"/>
      <protection locked="0" hidden="1"/>
    </xf>
    <xf numFmtId="0" fontId="153" fillId="0" borderId="0" xfId="0" applyFont="1" applyFill="1" applyBorder="1" applyProtection="1">
      <protection locked="0"/>
    </xf>
    <xf numFmtId="0" fontId="153" fillId="0" borderId="59" xfId="0" applyFont="1" applyBorder="1" applyAlignment="1" applyProtection="1">
      <alignment horizontal="center" vertical="center"/>
      <protection locked="0"/>
    </xf>
    <xf numFmtId="3" fontId="38" fillId="4" borderId="5" xfId="69" applyNumberFormat="1" applyFont="1" applyFill="1" applyBorder="1" applyAlignment="1">
      <alignment horizontal="center" vertical="center" wrapText="1"/>
    </xf>
    <xf numFmtId="0" fontId="0" fillId="0" borderId="71" xfId="0" applyBorder="1"/>
    <xf numFmtId="0" fontId="0" fillId="0" borderId="0" xfId="0" applyBorder="1" applyAlignment="1">
      <alignment vertical="center" wrapText="1"/>
    </xf>
    <xf numFmtId="0" fontId="70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2" fontId="0" fillId="0" borderId="71" xfId="0" applyNumberFormat="1" applyBorder="1"/>
    <xf numFmtId="0" fontId="25" fillId="0" borderId="5" xfId="69" applyFont="1" applyFill="1" applyBorder="1" applyAlignment="1" applyProtection="1">
      <alignment horizontal="center" vertical="center" wrapText="1"/>
      <protection hidden="1"/>
    </xf>
    <xf numFmtId="0" fontId="141" fillId="0" borderId="46" xfId="60" applyFont="1" applyBorder="1"/>
    <xf numFmtId="0" fontId="135" fillId="0" borderId="71" xfId="60" applyFont="1" applyBorder="1"/>
    <xf numFmtId="0" fontId="136" fillId="0" borderId="71" xfId="60" applyFont="1" applyBorder="1"/>
    <xf numFmtId="0" fontId="137" fillId="0" borderId="71" xfId="60" applyFont="1" applyBorder="1" applyAlignment="1">
      <alignment vertical="center"/>
    </xf>
    <xf numFmtId="0" fontId="141" fillId="0" borderId="83" xfId="60" applyFont="1" applyBorder="1"/>
    <xf numFmtId="0" fontId="43" fillId="9" borderId="71" xfId="46" applyFont="1" applyFill="1" applyBorder="1" applyAlignment="1">
      <alignment horizontal="center" vertical="center"/>
    </xf>
    <xf numFmtId="0" fontId="43" fillId="9" borderId="70" xfId="46" applyFont="1" applyFill="1" applyBorder="1" applyAlignment="1">
      <alignment horizontal="center" vertical="center"/>
    </xf>
    <xf numFmtId="0" fontId="135" fillId="0" borderId="85" xfId="60" applyFont="1" applyBorder="1"/>
    <xf numFmtId="0" fontId="0" fillId="0" borderId="0" xfId="0" applyFont="1"/>
    <xf numFmtId="0" fontId="24" fillId="0" borderId="0" xfId="80" applyFont="1" applyBorder="1" applyAlignment="1">
      <alignment vertical="top"/>
    </xf>
    <xf numFmtId="0" fontId="33" fillId="0" borderId="0" xfId="0" applyFont="1" applyAlignment="1">
      <alignment horizontal="center"/>
    </xf>
    <xf numFmtId="41" fontId="15" fillId="0" borderId="0" xfId="69" applyNumberFormat="1" applyFont="1" applyAlignment="1" applyProtection="1">
      <alignment vertical="center"/>
      <protection hidden="1"/>
    </xf>
    <xf numFmtId="0" fontId="64" fillId="0" borderId="91" xfId="0" applyFont="1" applyBorder="1" applyAlignment="1">
      <alignment vertical="center" wrapText="1"/>
    </xf>
    <xf numFmtId="0" fontId="135" fillId="0" borderId="13" xfId="60" applyFont="1" applyBorder="1"/>
    <xf numFmtId="0" fontId="135" fillId="0" borderId="70" xfId="60" applyFont="1" applyBorder="1"/>
    <xf numFmtId="0" fontId="136" fillId="0" borderId="70" xfId="60" applyFont="1" applyBorder="1"/>
    <xf numFmtId="0" fontId="137" fillId="0" borderId="70" xfId="60" applyFont="1" applyBorder="1" applyAlignment="1">
      <alignment vertical="center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3" fontId="74" fillId="57" borderId="60" xfId="69" applyNumberFormat="1" applyFont="1" applyFill="1" applyBorder="1" applyAlignment="1" applyProtection="1">
      <alignment horizontal="center" vertical="center"/>
      <protection hidden="1"/>
    </xf>
    <xf numFmtId="0" fontId="7" fillId="0" borderId="71" xfId="74" applyFont="1" applyFill="1" applyBorder="1" applyAlignment="1">
      <alignment horizontal="center" vertical="center"/>
    </xf>
    <xf numFmtId="41" fontId="59" fillId="6" borderId="71" xfId="75" applyNumberFormat="1" applyFont="1" applyFill="1" applyBorder="1" applyAlignment="1">
      <alignment horizontal="center" vertical="center" wrapText="1"/>
    </xf>
    <xf numFmtId="41" fontId="59" fillId="0" borderId="71" xfId="75" applyNumberFormat="1" applyFont="1" applyFill="1" applyBorder="1" applyAlignment="1">
      <alignment horizontal="center" vertical="center" wrapText="1"/>
    </xf>
    <xf numFmtId="14" fontId="15" fillId="0" borderId="0" xfId="1" applyNumberFormat="1" applyFont="1" applyAlignment="1" applyProtection="1">
      <alignment horizontal="right"/>
      <protection hidden="1"/>
    </xf>
    <xf numFmtId="41" fontId="59" fillId="6" borderId="34" xfId="0" applyNumberFormat="1" applyFont="1" applyFill="1" applyBorder="1" applyAlignment="1">
      <alignment horizontal="center" vertical="center" wrapText="1"/>
    </xf>
    <xf numFmtId="0" fontId="18" fillId="0" borderId="59" xfId="69" applyFont="1" applyFill="1" applyBorder="1" applyAlignment="1" applyProtection="1">
      <alignment horizontal="center" vertical="center" wrapText="1"/>
      <protection hidden="1"/>
    </xf>
    <xf numFmtId="41" fontId="59" fillId="6" borderId="5" xfId="69" applyNumberFormat="1" applyFont="1" applyFill="1" applyBorder="1" applyAlignment="1">
      <alignment horizontal="center" vertical="center" wrapText="1"/>
    </xf>
    <xf numFmtId="41" fontId="59" fillId="0" borderId="72" xfId="71" applyNumberFormat="1" applyFont="1" applyFill="1" applyBorder="1" applyAlignment="1">
      <alignment horizontal="center" vertical="center"/>
    </xf>
    <xf numFmtId="0" fontId="63" fillId="0" borderId="71" xfId="0" applyFont="1" applyBorder="1"/>
    <xf numFmtId="9" fontId="63" fillId="0" borderId="71" xfId="0" applyNumberFormat="1" applyFont="1" applyBorder="1"/>
    <xf numFmtId="41" fontId="68" fillId="6" borderId="11" xfId="0" applyNumberFormat="1" applyFont="1" applyFill="1" applyBorder="1" applyAlignment="1">
      <alignment horizontal="center" vertical="center" wrapText="1"/>
    </xf>
    <xf numFmtId="0" fontId="43" fillId="0" borderId="2" xfId="46" applyFont="1" applyBorder="1" applyAlignment="1">
      <alignment vertical="top" wrapText="1"/>
    </xf>
    <xf numFmtId="0" fontId="43" fillId="0" borderId="0" xfId="46" applyFont="1" applyBorder="1" applyAlignment="1">
      <alignment vertical="top" wrapText="1"/>
    </xf>
    <xf numFmtId="0" fontId="43" fillId="0" borderId="2" xfId="46" applyFont="1" applyBorder="1" applyAlignment="1">
      <alignment vertical="top"/>
    </xf>
    <xf numFmtId="0" fontId="16" fillId="0" borderId="17" xfId="69" applyFont="1" applyFill="1" applyBorder="1" applyAlignment="1" applyProtection="1">
      <alignment wrapText="1"/>
      <protection hidden="1"/>
    </xf>
    <xf numFmtId="0" fontId="16" fillId="0" borderId="19" xfId="69" applyFont="1" applyFill="1" applyBorder="1" applyAlignment="1" applyProtection="1">
      <alignment wrapText="1"/>
      <protection hidden="1"/>
    </xf>
    <xf numFmtId="0" fontId="16" fillId="0" borderId="16" xfId="69" applyFont="1" applyFill="1" applyBorder="1" applyAlignment="1" applyProtection="1">
      <alignment wrapText="1"/>
      <protection hidden="1"/>
    </xf>
    <xf numFmtId="0" fontId="25" fillId="0" borderId="17" xfId="69" applyFont="1" applyFill="1" applyBorder="1" applyAlignment="1" applyProtection="1">
      <alignment vertical="top" wrapText="1"/>
      <protection hidden="1"/>
    </xf>
    <xf numFmtId="0" fontId="25" fillId="0" borderId="19" xfId="69" applyFont="1" applyFill="1" applyBorder="1" applyAlignment="1" applyProtection="1">
      <alignment vertical="top" wrapText="1"/>
      <protection hidden="1"/>
    </xf>
    <xf numFmtId="0" fontId="25" fillId="0" borderId="16" xfId="69" applyFont="1" applyFill="1" applyBorder="1" applyAlignment="1" applyProtection="1">
      <alignment vertical="top" wrapText="1"/>
      <protection hidden="1"/>
    </xf>
    <xf numFmtId="0" fontId="16" fillId="0" borderId="11" xfId="69" applyFont="1" applyFill="1" applyBorder="1" applyAlignment="1" applyProtection="1">
      <alignment wrapText="1"/>
      <protection hidden="1"/>
    </xf>
    <xf numFmtId="0" fontId="43" fillId="0" borderId="2" xfId="46" applyFont="1" applyFill="1" applyBorder="1" applyAlignment="1">
      <alignment vertical="top" wrapText="1"/>
    </xf>
    <xf numFmtId="0" fontId="43" fillId="0" borderId="2" xfId="46" applyFont="1" applyFill="1" applyBorder="1" applyAlignment="1">
      <alignment vertical="top"/>
    </xf>
    <xf numFmtId="0" fontId="14" fillId="7" borderId="69" xfId="6" applyFont="1" applyFill="1" applyBorder="1" applyAlignment="1">
      <alignment wrapText="1"/>
    </xf>
    <xf numFmtId="0" fontId="14" fillId="7" borderId="69" xfId="6" applyFont="1" applyFill="1" applyBorder="1" applyAlignment="1"/>
    <xf numFmtId="0" fontId="14" fillId="7" borderId="72" xfId="6" applyFont="1" applyFill="1" applyBorder="1" applyAlignment="1"/>
    <xf numFmtId="0" fontId="33" fillId="0" borderId="72" xfId="60" applyFont="1" applyBorder="1" applyAlignment="1">
      <alignment horizontal="left" vertical="top" wrapText="1"/>
    </xf>
    <xf numFmtId="0" fontId="33" fillId="0" borderId="69" xfId="60" applyFont="1" applyBorder="1" applyAlignment="1">
      <alignment horizontal="left" vertical="top" wrapText="1"/>
    </xf>
    <xf numFmtId="0" fontId="141" fillId="0" borderId="71" xfId="60" applyFont="1" applyBorder="1"/>
    <xf numFmtId="0" fontId="135" fillId="0" borderId="98" xfId="60" applyFont="1" applyBorder="1"/>
    <xf numFmtId="0" fontId="137" fillId="0" borderId="98" xfId="60" applyFont="1" applyBorder="1" applyAlignment="1">
      <alignment vertical="center"/>
    </xf>
    <xf numFmtId="0" fontId="41" fillId="0" borderId="0" xfId="46" applyAlignment="1">
      <alignment horizontal="right"/>
    </xf>
    <xf numFmtId="0" fontId="14" fillId="0" borderId="0" xfId="13" applyFont="1" applyFill="1" applyAlignment="1">
      <alignment vertical="center"/>
    </xf>
    <xf numFmtId="0" fontId="85" fillId="0" borderId="0" xfId="46" applyFont="1" applyAlignment="1">
      <alignment horizontal="right"/>
    </xf>
    <xf numFmtId="0" fontId="129" fillId="0" borderId="0" xfId="46" applyFont="1" applyAlignment="1">
      <alignment horizontal="right"/>
    </xf>
    <xf numFmtId="0" fontId="0" fillId="0" borderId="0" xfId="0" applyFont="1"/>
    <xf numFmtId="0" fontId="43" fillId="0" borderId="0" xfId="46" applyFont="1" applyBorder="1" applyAlignment="1">
      <alignment horizontal="left" vertical="center" wrapText="1"/>
    </xf>
    <xf numFmtId="9" fontId="15" fillId="0" borderId="0" xfId="14" applyFont="1" applyAlignment="1" applyProtection="1">
      <alignment vertical="center"/>
      <protection hidden="1"/>
    </xf>
    <xf numFmtId="43" fontId="0" fillId="0" borderId="0" xfId="7" applyFont="1"/>
    <xf numFmtId="43" fontId="30" fillId="0" borderId="0" xfId="7" applyFont="1"/>
    <xf numFmtId="43" fontId="0" fillId="0" borderId="0" xfId="7" applyFont="1" applyBorder="1" applyAlignment="1">
      <alignment horizontal="center" vertical="center" wrapText="1"/>
    </xf>
    <xf numFmtId="9" fontId="41" fillId="0" borderId="0" xfId="14" applyFont="1" applyAlignment="1">
      <alignment horizontal="left" vertical="center"/>
    </xf>
    <xf numFmtId="41" fontId="59" fillId="6" borderId="5" xfId="69" applyNumberFormat="1" applyFont="1" applyFill="1" applyBorder="1" applyAlignment="1">
      <alignment horizontal="center" vertical="center" wrapText="1"/>
    </xf>
    <xf numFmtId="41" fontId="80" fillId="6" borderId="72" xfId="69" applyNumberFormat="1" applyFont="1" applyFill="1" applyBorder="1" applyAlignment="1">
      <alignment vertical="center" wrapText="1"/>
    </xf>
    <xf numFmtId="170" fontId="0" fillId="0" borderId="0" xfId="285" applyNumberFormat="1" applyFont="1"/>
    <xf numFmtId="170" fontId="0" fillId="0" borderId="71" xfId="285" applyNumberFormat="1" applyFont="1" applyBorder="1"/>
    <xf numFmtId="170" fontId="0" fillId="0" borderId="0" xfId="0" applyNumberFormat="1"/>
    <xf numFmtId="0" fontId="168" fillId="0" borderId="71" xfId="60" applyFont="1" applyBorder="1" applyAlignment="1">
      <alignment horizontal="center" vertical="center" wrapText="1"/>
    </xf>
    <xf numFmtId="9" fontId="153" fillId="0" borderId="0" xfId="14" applyFont="1" applyProtection="1">
      <protection locked="0" hidden="1"/>
    </xf>
    <xf numFmtId="170" fontId="0" fillId="0" borderId="71" xfId="285" applyNumberFormat="1" applyFont="1" applyBorder="1" applyAlignment="1">
      <alignment vertical="center" wrapText="1"/>
    </xf>
    <xf numFmtId="3" fontId="11" fillId="0" borderId="0" xfId="0" applyNumberFormat="1" applyFont="1" applyAlignment="1">
      <alignment horizontal="left" vertical="center" indent="2"/>
    </xf>
    <xf numFmtId="3" fontId="25" fillId="0" borderId="0" xfId="7" applyNumberFormat="1" applyFont="1"/>
    <xf numFmtId="3" fontId="80" fillId="0" borderId="0" xfId="46" applyNumberFormat="1" applyFont="1" applyAlignment="1">
      <alignment wrapText="1"/>
    </xf>
    <xf numFmtId="3" fontId="80" fillId="0" borderId="0" xfId="46" applyNumberFormat="1" applyFont="1"/>
    <xf numFmtId="3" fontId="15" fillId="0" borderId="0" xfId="69" applyNumberFormat="1" applyFont="1" applyFill="1" applyBorder="1" applyAlignment="1" applyProtection="1">
      <alignment vertical="center"/>
      <protection hidden="1"/>
    </xf>
    <xf numFmtId="3" fontId="25" fillId="0" borderId="71" xfId="14" applyNumberFormat="1" applyFont="1" applyBorder="1" applyAlignment="1">
      <alignment horizontal="left" vertical="center" wrapText="1" indent="1"/>
    </xf>
    <xf numFmtId="3" fontId="25" fillId="0" borderId="0" xfId="7" applyNumberFormat="1" applyFont="1" applyAlignment="1">
      <alignment wrapText="1"/>
    </xf>
    <xf numFmtId="3" fontId="42" fillId="0" borderId="0" xfId="46" applyNumberFormat="1" applyFont="1" applyAlignment="1">
      <alignment wrapText="1"/>
    </xf>
    <xf numFmtId="3" fontId="42" fillId="0" borderId="0" xfId="46" applyNumberFormat="1" applyFont="1"/>
    <xf numFmtId="3" fontId="32" fillId="0" borderId="0" xfId="46" applyNumberFormat="1" applyFont="1" applyAlignment="1">
      <alignment wrapText="1"/>
    </xf>
    <xf numFmtId="3" fontId="14" fillId="0" borderId="2" xfId="46" applyNumberFormat="1" applyFont="1" applyBorder="1" applyAlignment="1">
      <alignment horizontal="left" vertical="center" wrapText="1" indent="1"/>
    </xf>
    <xf numFmtId="3" fontId="15" fillId="0" borderId="0" xfId="46" applyNumberFormat="1" applyFont="1"/>
    <xf numFmtId="3" fontId="37" fillId="0" borderId="0" xfId="46" applyNumberFormat="1" applyFont="1"/>
    <xf numFmtId="3" fontId="25" fillId="0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0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9" xfId="69" applyNumberFormat="1" applyFont="1" applyFill="1" applyBorder="1" applyAlignment="1" applyProtection="1">
      <alignment vertical="center" wrapText="1"/>
      <protection hidden="1"/>
    </xf>
    <xf numFmtId="3" fontId="18" fillId="62" borderId="61" xfId="69" applyNumberFormat="1" applyFont="1" applyFill="1" applyBorder="1" applyAlignment="1" applyProtection="1">
      <alignment vertical="center" wrapText="1"/>
      <protection hidden="1"/>
    </xf>
    <xf numFmtId="3" fontId="18" fillId="62" borderId="60" xfId="69" applyNumberFormat="1" applyFont="1" applyFill="1" applyBorder="1" applyAlignment="1" applyProtection="1">
      <alignment vertical="center" wrapText="1"/>
      <protection hidden="1"/>
    </xf>
    <xf numFmtId="3" fontId="18" fillId="62" borderId="62" xfId="69" applyNumberFormat="1" applyFont="1" applyFill="1" applyBorder="1" applyAlignment="1" applyProtection="1">
      <alignment vertical="center" wrapText="1"/>
      <protection hidden="1"/>
    </xf>
    <xf numFmtId="3" fontId="25" fillId="0" borderId="1" xfId="7" applyNumberFormat="1" applyFont="1" applyFill="1" applyBorder="1" applyAlignment="1" applyProtection="1">
      <alignment horizontal="center" vertical="top" wrapText="1"/>
      <protection hidden="1"/>
    </xf>
    <xf numFmtId="3" fontId="15" fillId="0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2" xfId="69" applyNumberFormat="1" applyFont="1" applyFill="1" applyBorder="1" applyAlignment="1" applyProtection="1">
      <alignment vertical="top" wrapText="1"/>
      <protection hidden="1"/>
    </xf>
    <xf numFmtId="3" fontId="18" fillId="6" borderId="69" xfId="69" applyNumberFormat="1" applyFont="1" applyFill="1" applyBorder="1" applyAlignment="1" applyProtection="1">
      <alignment vertical="top" wrapText="1"/>
      <protection hidden="1"/>
    </xf>
    <xf numFmtId="3" fontId="18" fillId="6" borderId="70" xfId="69" applyNumberFormat="1" applyFont="1" applyFill="1" applyBorder="1" applyAlignment="1" applyProtection="1">
      <alignment vertical="top" wrapText="1"/>
      <protection hidden="1"/>
    </xf>
    <xf numFmtId="3" fontId="18" fillId="57" borderId="72" xfId="69" applyNumberFormat="1" applyFont="1" applyFill="1" applyBorder="1" applyAlignment="1" applyProtection="1">
      <alignment vertical="top" wrapText="1"/>
      <protection hidden="1"/>
    </xf>
    <xf numFmtId="3" fontId="18" fillId="57" borderId="70" xfId="69" applyNumberFormat="1" applyFont="1" applyFill="1" applyBorder="1" applyAlignment="1" applyProtection="1">
      <alignment vertical="top" wrapText="1"/>
      <protection hidden="1"/>
    </xf>
    <xf numFmtId="3" fontId="15" fillId="0" borderId="0" xfId="69" applyNumberFormat="1" applyFont="1" applyFill="1" applyAlignment="1" applyProtection="1">
      <alignment horizontal="center" vertical="top" wrapText="1"/>
      <protection hidden="1"/>
    </xf>
    <xf numFmtId="3" fontId="18" fillId="5" borderId="11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0" xfId="69" applyNumberFormat="1" applyFont="1" applyFill="1" applyBorder="1" applyAlignment="1" applyProtection="1">
      <alignment vertical="center" wrapText="1"/>
      <protection hidden="1"/>
    </xf>
    <xf numFmtId="3" fontId="15" fillId="57" borderId="59" xfId="69" applyNumberFormat="1" applyFont="1" applyFill="1" applyBorder="1" applyAlignment="1" applyProtection="1">
      <alignment vertical="center" wrapText="1"/>
      <protection hidden="1"/>
    </xf>
    <xf numFmtId="3" fontId="18" fillId="61" borderId="59" xfId="69" applyNumberFormat="1" applyFont="1" applyFill="1" applyBorder="1" applyAlignment="1" applyProtection="1">
      <alignment vertical="center" wrapText="1"/>
      <protection hidden="1"/>
    </xf>
    <xf numFmtId="3" fontId="18" fillId="57" borderId="59" xfId="69" applyNumberFormat="1" applyFont="1" applyFill="1" applyBorder="1" applyAlignment="1" applyProtection="1">
      <alignment vertical="center" wrapText="1"/>
      <protection hidden="1"/>
    </xf>
    <xf numFmtId="3" fontId="31" fillId="62" borderId="59" xfId="71" applyNumberFormat="1" applyFont="1" applyFill="1" applyBorder="1" applyAlignment="1">
      <alignment horizontal="center" vertical="center" wrapText="1"/>
    </xf>
    <xf numFmtId="3" fontId="15" fillId="62" borderId="59" xfId="69" applyNumberFormat="1" applyFont="1" applyFill="1" applyBorder="1" applyAlignment="1" applyProtection="1">
      <alignment horizontal="center" vertical="center"/>
      <protection hidden="1"/>
    </xf>
    <xf numFmtId="3" fontId="15" fillId="62" borderId="59" xfId="69" applyNumberFormat="1" applyFont="1" applyFill="1" applyBorder="1" applyAlignment="1" applyProtection="1">
      <alignment vertical="center"/>
      <protection hidden="1"/>
    </xf>
    <xf numFmtId="3" fontId="15" fillId="6" borderId="59" xfId="69" applyNumberFormat="1" applyFont="1" applyFill="1" applyBorder="1" applyAlignment="1" applyProtection="1">
      <alignment vertical="center" wrapText="1"/>
      <protection hidden="1"/>
    </xf>
    <xf numFmtId="3" fontId="16" fillId="0" borderId="0" xfId="7" applyNumberFormat="1" applyFont="1" applyFill="1" applyBorder="1" applyAlignment="1" applyProtection="1">
      <alignment vertical="center" wrapText="1"/>
      <protection hidden="1"/>
    </xf>
    <xf numFmtId="3" fontId="16" fillId="5" borderId="11" xfId="69" applyNumberFormat="1" applyFont="1" applyFill="1" applyBorder="1" applyAlignment="1" applyProtection="1">
      <alignment vertical="center" wrapText="1"/>
      <protection hidden="1"/>
    </xf>
    <xf numFmtId="3" fontId="16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16" fillId="5" borderId="59" xfId="69" applyNumberFormat="1" applyFont="1" applyFill="1" applyBorder="1" applyAlignment="1" applyProtection="1">
      <alignment vertical="center"/>
      <protection hidden="1"/>
    </xf>
    <xf numFmtId="3" fontId="16" fillId="0" borderId="0" xfId="69" applyNumberFormat="1" applyFont="1" applyFill="1" applyBorder="1" applyAlignment="1" applyProtection="1">
      <alignment vertical="center" wrapText="1"/>
      <protection hidden="1"/>
    </xf>
    <xf numFmtId="3" fontId="149" fillId="57" borderId="59" xfId="69" applyNumberFormat="1" applyFont="1" applyFill="1" applyBorder="1" applyAlignment="1" applyProtection="1">
      <alignment vertical="center" wrapText="1"/>
      <protection hidden="1"/>
    </xf>
    <xf numFmtId="3" fontId="149" fillId="57" borderId="59" xfId="69" applyNumberFormat="1" applyFont="1" applyFill="1" applyBorder="1" applyAlignment="1" applyProtection="1">
      <alignment vertical="center"/>
      <protection hidden="1"/>
    </xf>
    <xf numFmtId="3" fontId="16" fillId="57" borderId="59" xfId="69" applyNumberFormat="1" applyFont="1" applyFill="1" applyBorder="1" applyAlignment="1" applyProtection="1">
      <alignment vertical="center"/>
      <protection hidden="1"/>
    </xf>
    <xf numFmtId="3" fontId="16" fillId="6" borderId="59" xfId="69" applyNumberFormat="1" applyFont="1" applyFill="1" applyBorder="1" applyAlignment="1" applyProtection="1">
      <alignment vertical="center"/>
      <protection hidden="1"/>
    </xf>
    <xf numFmtId="3" fontId="16" fillId="61" borderId="5" xfId="69" applyNumberFormat="1" applyFont="1" applyFill="1" applyBorder="1" applyAlignment="1" applyProtection="1">
      <alignment vertical="center" wrapText="1"/>
      <protection hidden="1"/>
    </xf>
    <xf numFmtId="3" fontId="12" fillId="62" borderId="59" xfId="71" applyNumberFormat="1" applyFont="1" applyFill="1" applyBorder="1" applyAlignment="1">
      <alignment vertical="center"/>
    </xf>
    <xf numFmtId="3" fontId="16" fillId="0" borderId="0" xfId="69" applyNumberFormat="1" applyFont="1" applyFill="1" applyAlignment="1" applyProtection="1">
      <alignment vertical="center"/>
      <protection hidden="1"/>
    </xf>
    <xf numFmtId="3" fontId="17" fillId="0" borderId="60" xfId="46" applyNumberFormat="1" applyFont="1" applyFill="1" applyBorder="1" applyAlignment="1">
      <alignment horizontal="left" vertical="center" wrapText="1" indent="1"/>
    </xf>
    <xf numFmtId="3" fontId="17" fillId="0" borderId="7" xfId="46" applyNumberFormat="1" applyFont="1" applyFill="1" applyBorder="1" applyAlignment="1">
      <alignment horizontal="left" vertical="center" wrapText="1" indent="1"/>
    </xf>
    <xf numFmtId="3" fontId="15" fillId="0" borderId="71" xfId="46" applyNumberFormat="1" applyFont="1" applyBorder="1"/>
    <xf numFmtId="3" fontId="15" fillId="0" borderId="0" xfId="46" applyNumberFormat="1" applyFont="1" applyBorder="1"/>
    <xf numFmtId="3" fontId="41" fillId="0" borderId="0" xfId="46" applyNumberFormat="1"/>
    <xf numFmtId="3" fontId="82" fillId="0" borderId="0" xfId="7" applyNumberFormat="1" applyFont="1"/>
    <xf numFmtId="9" fontId="25" fillId="0" borderId="60" xfId="14" applyFont="1" applyFill="1" applyBorder="1" applyAlignment="1">
      <alignment horizontal="left" vertical="center" wrapText="1" indent="1"/>
    </xf>
    <xf numFmtId="3" fontId="15" fillId="0" borderId="103" xfId="69" applyNumberFormat="1" applyFont="1" applyFill="1" applyBorder="1" applyAlignment="1" applyProtection="1">
      <alignment vertical="center"/>
      <protection hidden="1"/>
    </xf>
    <xf numFmtId="43" fontId="25" fillId="0" borderId="0" xfId="7" applyFont="1" applyFill="1" applyBorder="1" applyAlignment="1" applyProtection="1">
      <alignment horizontal="center" vertical="center" wrapText="1"/>
      <protection hidden="1"/>
    </xf>
    <xf numFmtId="43" fontId="38" fillId="12" borderId="11" xfId="7" applyFont="1" applyFill="1" applyBorder="1" applyAlignment="1" applyProtection="1">
      <alignment horizontal="center" vertical="center" wrapText="1"/>
      <protection hidden="1"/>
    </xf>
    <xf numFmtId="43" fontId="74" fillId="12" borderId="11" xfId="7" applyFont="1" applyFill="1" applyBorder="1" applyAlignment="1" applyProtection="1">
      <alignment horizontal="center" vertical="center" wrapText="1"/>
      <protection hidden="1"/>
    </xf>
    <xf numFmtId="43" fontId="74" fillId="12" borderId="60" xfId="7" applyFont="1" applyFill="1" applyBorder="1" applyAlignment="1" applyProtection="1">
      <alignment horizontal="center" vertical="center" wrapText="1"/>
      <protection hidden="1"/>
    </xf>
    <xf numFmtId="43" fontId="15" fillId="12" borderId="59" xfId="7" applyFont="1" applyFill="1" applyBorder="1" applyAlignment="1" applyProtection="1">
      <alignment vertical="center"/>
      <protection hidden="1"/>
    </xf>
    <xf numFmtId="43" fontId="15" fillId="0" borderId="0" xfId="7" applyFont="1" applyFill="1" applyBorder="1" applyAlignment="1" applyProtection="1">
      <alignment horizontal="center" vertical="center" wrapText="1"/>
      <protection hidden="1"/>
    </xf>
    <xf numFmtId="43" fontId="74" fillId="12" borderId="59" xfId="7" applyFont="1" applyFill="1" applyBorder="1" applyAlignment="1" applyProtection="1">
      <alignment vertical="center" wrapText="1"/>
      <protection hidden="1"/>
    </xf>
    <xf numFmtId="43" fontId="74" fillId="12" borderId="59" xfId="7" applyFont="1" applyFill="1" applyBorder="1" applyAlignment="1" applyProtection="1">
      <alignment vertical="center"/>
      <protection hidden="1"/>
    </xf>
    <xf numFmtId="43" fontId="142" fillId="12" borderId="59" xfId="7" applyFont="1" applyFill="1" applyBorder="1" applyAlignment="1" applyProtection="1">
      <alignment vertical="center" wrapText="1"/>
      <protection hidden="1"/>
    </xf>
    <xf numFmtId="43" fontId="143" fillId="12" borderId="59" xfId="7" applyFont="1" applyFill="1" applyBorder="1" applyAlignment="1" applyProtection="1">
      <alignment vertical="center" wrapText="1"/>
      <protection hidden="1"/>
    </xf>
    <xf numFmtId="43" fontId="15" fillId="0" borderId="0" xfId="7" applyFont="1" applyFill="1" applyAlignment="1" applyProtection="1">
      <alignment vertical="center"/>
      <protection hidden="1"/>
    </xf>
    <xf numFmtId="43" fontId="15" fillId="0" borderId="59" xfId="7" applyFont="1" applyFill="1" applyBorder="1" applyAlignment="1" applyProtection="1">
      <alignment vertical="center"/>
      <protection hidden="1"/>
    </xf>
    <xf numFmtId="43" fontId="150" fillId="0" borderId="59" xfId="7" applyFont="1" applyBorder="1" applyAlignment="1" applyProtection="1">
      <alignment vertical="center"/>
      <protection hidden="1"/>
    </xf>
    <xf numFmtId="3" fontId="18" fillId="0" borderId="104" xfId="46" applyNumberFormat="1" applyFont="1" applyFill="1" applyBorder="1" applyAlignment="1">
      <alignment horizontal="left" vertical="center" wrapText="1" indent="1"/>
    </xf>
    <xf numFmtId="3" fontId="18" fillId="5" borderId="104" xfId="69" applyNumberFormat="1" applyFont="1" applyFill="1" applyBorder="1" applyAlignment="1" applyProtection="1">
      <alignment vertical="center" wrapText="1"/>
      <protection hidden="1"/>
    </xf>
    <xf numFmtId="3" fontId="18" fillId="5" borderId="106" xfId="69" applyNumberFormat="1" applyFont="1" applyFill="1" applyBorder="1" applyAlignment="1" applyProtection="1">
      <alignment vertical="center" wrapText="1"/>
      <protection hidden="1"/>
    </xf>
    <xf numFmtId="3" fontId="18" fillId="5" borderId="104" xfId="69" applyNumberFormat="1" applyFont="1" applyFill="1" applyBorder="1" applyAlignment="1" applyProtection="1">
      <alignment vertical="top" wrapText="1"/>
      <protection hidden="1"/>
    </xf>
    <xf numFmtId="3" fontId="18" fillId="5" borderId="106" xfId="69" applyNumberFormat="1" applyFont="1" applyFill="1" applyBorder="1" applyAlignment="1" applyProtection="1">
      <alignment vertical="top" wrapText="1"/>
      <protection hidden="1"/>
    </xf>
    <xf numFmtId="3" fontId="18" fillId="5" borderId="108" xfId="69" applyNumberFormat="1" applyFont="1" applyFill="1" applyBorder="1" applyAlignment="1" applyProtection="1">
      <alignment vertical="top" wrapText="1"/>
      <protection hidden="1"/>
    </xf>
    <xf numFmtId="3" fontId="18" fillId="5" borderId="104" xfId="69" applyNumberFormat="1" applyFont="1" applyFill="1" applyBorder="1" applyAlignment="1" applyProtection="1">
      <alignment vertical="top"/>
      <protection hidden="1"/>
    </xf>
    <xf numFmtId="3" fontId="18" fillId="5" borderId="106" xfId="69" applyNumberFormat="1" applyFont="1" applyFill="1" applyBorder="1" applyAlignment="1" applyProtection="1">
      <alignment vertical="top"/>
      <protection hidden="1"/>
    </xf>
    <xf numFmtId="3" fontId="18" fillId="5" borderId="108" xfId="69" applyNumberFormat="1" applyFont="1" applyFill="1" applyBorder="1" applyAlignment="1" applyProtection="1">
      <alignment vertical="top"/>
      <protection hidden="1"/>
    </xf>
    <xf numFmtId="3" fontId="18" fillId="5" borderId="107" xfId="69" applyNumberFormat="1" applyFont="1" applyFill="1" applyBorder="1" applyAlignment="1" applyProtection="1">
      <alignment vertical="center" wrapText="1"/>
      <protection hidden="1"/>
    </xf>
    <xf numFmtId="3" fontId="18" fillId="5" borderId="19" xfId="69" applyNumberFormat="1" applyFont="1" applyFill="1" applyBorder="1" applyAlignment="1" applyProtection="1">
      <alignment vertical="center" wrapText="1"/>
      <protection hidden="1"/>
    </xf>
    <xf numFmtId="3" fontId="25" fillId="0" borderId="0" xfId="14" applyNumberFormat="1" applyFont="1" applyBorder="1" applyAlignment="1">
      <alignment horizontal="left" vertical="center" wrapText="1" indent="1"/>
    </xf>
    <xf numFmtId="3" fontId="38" fillId="5" borderId="103" xfId="69" applyNumberFormat="1" applyFont="1" applyFill="1" applyBorder="1" applyAlignment="1">
      <alignment horizontal="center" vertical="center" wrapText="1"/>
    </xf>
    <xf numFmtId="3" fontId="15" fillId="5" borderId="103" xfId="69" applyNumberFormat="1" applyFont="1" applyFill="1" applyBorder="1" applyAlignment="1">
      <alignment horizontal="center" vertical="center" wrapText="1"/>
    </xf>
    <xf numFmtId="3" fontId="74" fillId="6" borderId="104" xfId="69" applyNumberFormat="1" applyFont="1" applyFill="1" applyBorder="1" applyAlignment="1">
      <alignment vertical="center" wrapText="1"/>
    </xf>
    <xf numFmtId="3" fontId="15" fillId="6" borderId="104" xfId="69" applyNumberFormat="1" applyFont="1" applyFill="1" applyBorder="1" applyAlignment="1">
      <alignment vertical="center" wrapText="1"/>
    </xf>
    <xf numFmtId="3" fontId="15" fillId="58" borderId="104" xfId="69" applyNumberFormat="1" applyFont="1" applyFill="1" applyBorder="1" applyAlignment="1">
      <alignment vertical="center" wrapText="1"/>
    </xf>
    <xf numFmtId="3" fontId="74" fillId="57" borderId="104" xfId="69" applyNumberFormat="1" applyFont="1" applyFill="1" applyBorder="1" applyAlignment="1" applyProtection="1">
      <alignment horizontal="center" vertical="center"/>
      <protection hidden="1"/>
    </xf>
    <xf numFmtId="3" fontId="74" fillId="5" borderId="103" xfId="7" applyNumberFormat="1" applyFont="1" applyFill="1" applyBorder="1" applyAlignment="1" applyProtection="1">
      <alignment vertical="center"/>
      <protection hidden="1"/>
    </xf>
    <xf numFmtId="3" fontId="74" fillId="5" borderId="103" xfId="69" applyNumberFormat="1" applyFont="1" applyFill="1" applyBorder="1" applyAlignment="1" applyProtection="1">
      <alignment vertical="center"/>
      <protection hidden="1"/>
    </xf>
    <xf numFmtId="3" fontId="74" fillId="5" borderId="103" xfId="69" applyNumberFormat="1" applyFont="1" applyFill="1" applyBorder="1" applyAlignment="1">
      <alignment horizontal="center" vertical="center" wrapText="1"/>
    </xf>
    <xf numFmtId="3" fontId="15" fillId="58" borderId="103" xfId="69" applyNumberFormat="1" applyFont="1" applyFill="1" applyBorder="1" applyAlignment="1" applyProtection="1">
      <alignment vertical="center"/>
      <protection hidden="1"/>
    </xf>
    <xf numFmtId="3" fontId="74" fillId="57" borderId="103" xfId="69" applyNumberFormat="1" applyFont="1" applyFill="1" applyBorder="1" applyAlignment="1" applyProtection="1">
      <alignment vertical="center"/>
      <protection hidden="1"/>
    </xf>
    <xf numFmtId="3" fontId="74" fillId="6" borderId="103" xfId="69" applyNumberFormat="1" applyFont="1" applyFill="1" applyBorder="1" applyAlignment="1" applyProtection="1">
      <alignment vertical="center"/>
      <protection hidden="1"/>
    </xf>
    <xf numFmtId="3" fontId="74" fillId="58" borderId="103" xfId="69" applyNumberFormat="1" applyFont="1" applyFill="1" applyBorder="1" applyAlignment="1" applyProtection="1">
      <alignment vertical="center"/>
      <protection hidden="1"/>
    </xf>
    <xf numFmtId="3" fontId="74" fillId="6" borderId="85" xfId="118" applyNumberFormat="1" applyFont="1" applyFill="1" applyBorder="1" applyAlignment="1">
      <alignment horizontal="center" vertical="center" wrapText="1"/>
    </xf>
    <xf numFmtId="3" fontId="15" fillId="6" borderId="103" xfId="69" applyNumberFormat="1" applyFont="1" applyFill="1" applyBorder="1" applyAlignment="1" applyProtection="1">
      <alignment vertical="center"/>
      <protection hidden="1"/>
    </xf>
    <xf numFmtId="3" fontId="74" fillId="62" borderId="103" xfId="69" applyNumberFormat="1" applyFont="1" applyFill="1" applyBorder="1" applyAlignment="1" applyProtection="1">
      <alignment vertical="center"/>
      <protection hidden="1"/>
    </xf>
    <xf numFmtId="3" fontId="38" fillId="62" borderId="103" xfId="69" applyNumberFormat="1" applyFont="1" applyFill="1" applyBorder="1" applyAlignment="1" applyProtection="1">
      <alignment vertical="center"/>
      <protection hidden="1"/>
    </xf>
    <xf numFmtId="3" fontId="18" fillId="0" borderId="106" xfId="46" applyNumberFormat="1" applyFont="1" applyFill="1" applyBorder="1" applyAlignment="1">
      <alignment horizontal="left" vertical="center" wrapText="1" indent="1"/>
    </xf>
    <xf numFmtId="3" fontId="150" fillId="0" borderId="103" xfId="69" applyNumberFormat="1" applyFont="1" applyFill="1" applyBorder="1" applyAlignment="1" applyProtection="1">
      <alignment vertical="center"/>
      <protection hidden="1"/>
    </xf>
    <xf numFmtId="3" fontId="15" fillId="0" borderId="103" xfId="46" applyNumberFormat="1" applyFont="1" applyBorder="1" applyAlignment="1">
      <alignment horizontal="center" vertical="center"/>
    </xf>
    <xf numFmtId="41" fontId="23" fillId="4" borderId="59" xfId="0" applyNumberFormat="1" applyFont="1" applyFill="1" applyBorder="1" applyAlignment="1">
      <alignment vertical="top"/>
    </xf>
    <xf numFmtId="41" fontId="7" fillId="4" borderId="59" xfId="0" applyNumberFormat="1" applyFont="1" applyFill="1" applyBorder="1" applyAlignment="1">
      <alignment vertical="top"/>
    </xf>
    <xf numFmtId="3" fontId="14" fillId="4" borderId="2" xfId="46" applyNumberFormat="1" applyFont="1" applyFill="1" applyBorder="1" applyAlignment="1">
      <alignment horizontal="left" vertical="center" indent="1"/>
    </xf>
    <xf numFmtId="3" fontId="14" fillId="4" borderId="2" xfId="46" applyNumberFormat="1" applyFont="1" applyFill="1" applyBorder="1" applyAlignment="1">
      <alignment horizontal="left" vertical="center" wrapText="1" indent="1"/>
    </xf>
    <xf numFmtId="3" fontId="15" fillId="4" borderId="0" xfId="46" applyNumberFormat="1" applyFont="1" applyFill="1"/>
    <xf numFmtId="3" fontId="14" fillId="4" borderId="0" xfId="46" applyNumberFormat="1" applyFont="1" applyFill="1" applyBorder="1" applyAlignment="1">
      <alignment horizontal="left" vertical="center" wrapText="1" indent="1"/>
    </xf>
    <xf numFmtId="3" fontId="37" fillId="4" borderId="0" xfId="46" applyNumberFormat="1" applyFont="1" applyFill="1"/>
    <xf numFmtId="3" fontId="25" fillId="4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4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9" xfId="69" applyNumberFormat="1" applyFont="1" applyFill="1" applyBorder="1" applyAlignment="1" applyProtection="1">
      <alignment vertical="center" wrapText="1"/>
      <protection hidden="1"/>
    </xf>
    <xf numFmtId="3" fontId="18" fillId="4" borderId="72" xfId="69" applyNumberFormat="1" applyFont="1" applyFill="1" applyBorder="1" applyAlignment="1" applyProtection="1">
      <alignment vertical="center" wrapText="1"/>
      <protection hidden="1"/>
    </xf>
    <xf numFmtId="3" fontId="18" fillId="4" borderId="61" xfId="69" applyNumberFormat="1" applyFont="1" applyFill="1" applyBorder="1" applyAlignment="1" applyProtection="1">
      <alignment vertical="center" wrapText="1"/>
      <protection hidden="1"/>
    </xf>
    <xf numFmtId="3" fontId="18" fillId="4" borderId="60" xfId="69" applyNumberFormat="1" applyFont="1" applyFill="1" applyBorder="1" applyAlignment="1" applyProtection="1">
      <alignment vertical="center" wrapText="1"/>
      <protection hidden="1"/>
    </xf>
    <xf numFmtId="3" fontId="18" fillId="4" borderId="62" xfId="69" applyNumberFormat="1" applyFont="1" applyFill="1" applyBorder="1" applyAlignment="1" applyProtection="1">
      <alignment vertical="center" wrapText="1"/>
      <protection hidden="1"/>
    </xf>
    <xf numFmtId="3" fontId="37" fillId="4" borderId="0" xfId="69" applyNumberFormat="1" applyFont="1" applyFill="1" applyAlignment="1" applyProtection="1">
      <alignment vertical="center"/>
      <protection hidden="1"/>
    </xf>
    <xf numFmtId="3" fontId="25" fillId="4" borderId="1" xfId="7" applyNumberFormat="1" applyFont="1" applyFill="1" applyBorder="1" applyAlignment="1" applyProtection="1">
      <alignment horizontal="center" vertical="top" wrapText="1"/>
      <protection hidden="1"/>
    </xf>
    <xf numFmtId="3" fontId="15" fillId="4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9" xfId="69" applyNumberFormat="1" applyFont="1" applyFill="1" applyBorder="1" applyAlignment="1" applyProtection="1">
      <alignment vertical="top" wrapText="1"/>
      <protection hidden="1"/>
    </xf>
    <xf numFmtId="3" fontId="18" fillId="4" borderId="72" xfId="69" applyNumberFormat="1" applyFont="1" applyFill="1" applyBorder="1" applyAlignment="1" applyProtection="1">
      <alignment vertical="top" wrapText="1"/>
      <protection hidden="1"/>
    </xf>
    <xf numFmtId="3" fontId="18" fillId="4" borderId="70" xfId="69" applyNumberFormat="1" applyFont="1" applyFill="1" applyBorder="1" applyAlignment="1" applyProtection="1">
      <alignment vertical="top" wrapText="1"/>
      <protection hidden="1"/>
    </xf>
    <xf numFmtId="3" fontId="15" fillId="4" borderId="0" xfId="69" applyNumberFormat="1" applyFont="1" applyFill="1" applyAlignment="1" applyProtection="1">
      <alignment horizontal="center" vertical="top" wrapText="1"/>
      <protection hidden="1"/>
    </xf>
    <xf numFmtId="3" fontId="18" fillId="4" borderId="11" xfId="69" applyNumberFormat="1" applyFont="1" applyFill="1" applyBorder="1" applyAlignment="1" applyProtection="1">
      <alignment horizontal="center" vertical="center" wrapText="1"/>
      <protection hidden="1"/>
    </xf>
    <xf numFmtId="3" fontId="25" fillId="4" borderId="59" xfId="69" applyNumberFormat="1" applyFont="1" applyFill="1" applyBorder="1" applyAlignment="1" applyProtection="1">
      <alignment vertical="center" wrapText="1"/>
      <protection hidden="1"/>
    </xf>
    <xf numFmtId="3" fontId="15" fillId="4" borderId="59" xfId="69" applyNumberFormat="1" applyFont="1" applyFill="1" applyBorder="1" applyAlignment="1" applyProtection="1">
      <alignment vertical="center"/>
      <protection hidden="1"/>
    </xf>
    <xf numFmtId="3" fontId="18" fillId="4" borderId="70" xfId="69" applyNumberFormat="1" applyFont="1" applyFill="1" applyBorder="1" applyAlignment="1" applyProtection="1">
      <alignment vertical="center" wrapText="1"/>
      <protection hidden="1"/>
    </xf>
    <xf numFmtId="3" fontId="18" fillId="4" borderId="5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59" xfId="69" applyNumberFormat="1" applyFont="1" applyFill="1" applyBorder="1" applyAlignment="1" applyProtection="1">
      <alignment vertical="center" wrapText="1"/>
      <protection hidden="1"/>
    </xf>
    <xf numFmtId="3" fontId="18" fillId="4" borderId="59" xfId="69" applyNumberFormat="1" applyFont="1" applyFill="1" applyBorder="1" applyAlignment="1" applyProtection="1">
      <alignment vertical="center" wrapText="1"/>
      <protection hidden="1"/>
    </xf>
    <xf numFmtId="3" fontId="31" fillId="4" borderId="59" xfId="71" applyNumberFormat="1" applyFont="1" applyFill="1" applyBorder="1" applyAlignment="1">
      <alignment horizontal="center" vertical="center" wrapText="1"/>
    </xf>
    <xf numFmtId="3" fontId="15" fillId="4" borderId="0" xfId="69" applyNumberFormat="1" applyFont="1" applyFill="1" applyAlignment="1" applyProtection="1">
      <alignment vertical="center"/>
      <protection hidden="1"/>
    </xf>
    <xf numFmtId="3" fontId="16" fillId="4" borderId="0" xfId="7" applyNumberFormat="1" applyFont="1" applyFill="1" applyBorder="1" applyAlignment="1" applyProtection="1">
      <alignment vertical="center" wrapText="1"/>
      <protection hidden="1"/>
    </xf>
    <xf numFmtId="3" fontId="16" fillId="4" borderId="11" xfId="69" applyNumberFormat="1" applyFont="1" applyFill="1" applyBorder="1" applyAlignment="1" applyProtection="1">
      <alignment vertical="center" wrapText="1"/>
      <protection hidden="1"/>
    </xf>
    <xf numFmtId="3" fontId="16" fillId="4" borderId="60" xfId="69" applyNumberFormat="1" applyFont="1" applyFill="1" applyBorder="1" applyAlignment="1" applyProtection="1">
      <alignment vertical="center" wrapText="1"/>
      <protection hidden="1"/>
    </xf>
    <xf numFmtId="3" fontId="16" fillId="4" borderId="60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59" xfId="69" applyNumberFormat="1" applyFont="1" applyFill="1" applyBorder="1" applyAlignment="1" applyProtection="1">
      <alignment vertical="center"/>
      <protection hidden="1"/>
    </xf>
    <xf numFmtId="3" fontId="16" fillId="4" borderId="0" xfId="69" applyNumberFormat="1" applyFont="1" applyFill="1" applyBorder="1" applyAlignment="1" applyProtection="1">
      <alignment vertical="center" wrapText="1"/>
      <protection hidden="1"/>
    </xf>
    <xf numFmtId="3" fontId="149" fillId="4" borderId="59" xfId="69" applyNumberFormat="1" applyFont="1" applyFill="1" applyBorder="1" applyAlignment="1" applyProtection="1">
      <alignment vertical="center" wrapText="1"/>
      <protection hidden="1"/>
    </xf>
    <xf numFmtId="3" fontId="149" fillId="4" borderId="59" xfId="69" applyNumberFormat="1" applyFont="1" applyFill="1" applyBorder="1" applyAlignment="1" applyProtection="1">
      <alignment vertical="center"/>
      <protection hidden="1"/>
    </xf>
    <xf numFmtId="3" fontId="16" fillId="4" borderId="12" xfId="69" applyNumberFormat="1" applyFont="1" applyFill="1" applyBorder="1" applyAlignment="1" applyProtection="1">
      <alignment vertical="center" wrapText="1"/>
      <protection hidden="1"/>
    </xf>
    <xf numFmtId="3" fontId="16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59" xfId="69" applyNumberFormat="1" applyFont="1" applyFill="1" applyBorder="1" applyAlignment="1" applyProtection="1">
      <alignment horizontal="center" vertical="center"/>
      <protection hidden="1"/>
    </xf>
    <xf numFmtId="3" fontId="12" fillId="4" borderId="59" xfId="0" applyNumberFormat="1" applyFont="1" applyFill="1" applyBorder="1" applyAlignment="1">
      <alignment horizontal="center" vertical="center" wrapText="1"/>
    </xf>
    <xf numFmtId="3" fontId="16" fillId="4" borderId="5" xfId="69" applyNumberFormat="1" applyFont="1" applyFill="1" applyBorder="1" applyAlignment="1" applyProtection="1">
      <alignment vertical="center" wrapText="1"/>
      <protection hidden="1"/>
    </xf>
    <xf numFmtId="3" fontId="12" fillId="4" borderId="59" xfId="71" applyNumberFormat="1" applyFont="1" applyFill="1" applyBorder="1" applyAlignment="1">
      <alignment vertical="center"/>
    </xf>
    <xf numFmtId="3" fontId="12" fillId="4" borderId="59" xfId="71" applyNumberFormat="1" applyFont="1" applyFill="1" applyBorder="1" applyAlignment="1">
      <alignment vertical="center" wrapText="1"/>
    </xf>
    <xf numFmtId="3" fontId="16" fillId="4" borderId="0" xfId="69" applyNumberFormat="1" applyFont="1" applyFill="1" applyAlignment="1" applyProtection="1">
      <alignment vertical="center"/>
      <protection hidden="1"/>
    </xf>
    <xf numFmtId="3" fontId="37" fillId="6" borderId="59" xfId="69" applyNumberFormat="1" applyFont="1" applyFill="1" applyBorder="1" applyAlignment="1" applyProtection="1">
      <alignment vertical="center"/>
      <protection hidden="1"/>
    </xf>
    <xf numFmtId="0" fontId="174" fillId="0" borderId="0" xfId="46" applyFont="1" applyAlignment="1">
      <alignment horizontal="right"/>
    </xf>
    <xf numFmtId="3" fontId="59" fillId="0" borderId="0" xfId="46" applyNumberFormat="1" applyFont="1" applyFill="1" applyBorder="1" applyAlignment="1">
      <alignment horizontal="center" vertical="center"/>
    </xf>
    <xf numFmtId="0" fontId="14" fillId="0" borderId="0" xfId="13" applyFont="1" applyFill="1" applyAlignment="1">
      <alignment vertical="center" wrapText="1"/>
    </xf>
    <xf numFmtId="0" fontId="135" fillId="0" borderId="71" xfId="60" applyFont="1" applyBorder="1" applyAlignment="1">
      <alignment vertical="center"/>
    </xf>
    <xf numFmtId="0" fontId="0" fillId="0" borderId="0" xfId="0" applyFont="1"/>
    <xf numFmtId="0" fontId="43" fillId="0" borderId="0" xfId="46" applyFont="1" applyBorder="1" applyAlignment="1">
      <alignment horizontal="left" vertical="center" wrapText="1"/>
    </xf>
    <xf numFmtId="0" fontId="38" fillId="0" borderId="0" xfId="46" applyFont="1" applyAlignment="1">
      <alignment vertical="center"/>
    </xf>
    <xf numFmtId="0" fontId="30" fillId="0" borderId="71" xfId="46" applyFont="1" applyFill="1" applyBorder="1" applyAlignment="1">
      <alignment horizontal="center" vertical="center" wrapText="1"/>
    </xf>
    <xf numFmtId="0" fontId="15" fillId="6" borderId="71" xfId="46" applyFont="1" applyFill="1" applyBorder="1" applyAlignment="1">
      <alignment horizontal="center" vertical="center" wrapText="1"/>
    </xf>
    <xf numFmtId="41" fontId="59" fillId="6" borderId="71" xfId="46" applyNumberFormat="1" applyFont="1" applyFill="1" applyBorder="1" applyAlignment="1">
      <alignment horizontal="center" vertical="center" wrapText="1"/>
    </xf>
    <xf numFmtId="41" fontId="59" fillId="0" borderId="71" xfId="46" applyNumberFormat="1" applyFont="1" applyFill="1" applyBorder="1" applyAlignment="1">
      <alignment horizontal="center" vertical="center" wrapText="1"/>
    </xf>
    <xf numFmtId="9" fontId="15" fillId="6" borderId="71" xfId="46" applyNumberFormat="1" applyFont="1" applyFill="1" applyBorder="1" applyAlignment="1">
      <alignment horizontal="center" vertical="center" wrapText="1"/>
    </xf>
    <xf numFmtId="9" fontId="15" fillId="0" borderId="71" xfId="46" applyNumberFormat="1" applyFont="1" applyFill="1" applyBorder="1" applyAlignment="1">
      <alignment horizontal="center" vertical="center" wrapText="1"/>
    </xf>
    <xf numFmtId="0" fontId="15" fillId="6" borderId="72" xfId="46" applyFont="1" applyFill="1" applyBorder="1" applyAlignment="1">
      <alignment horizontal="center" vertical="center" wrapText="1"/>
    </xf>
    <xf numFmtId="0" fontId="30" fillId="0" borderId="83" xfId="46" applyFont="1" applyFill="1" applyBorder="1" applyAlignment="1">
      <alignment horizontal="center" vertical="center" wrapText="1"/>
    </xf>
    <xf numFmtId="41" fontId="59" fillId="6" borderId="83" xfId="46" applyNumberFormat="1" applyFont="1" applyFill="1" applyBorder="1" applyAlignment="1">
      <alignment horizontal="center" vertical="center" wrapText="1"/>
    </xf>
    <xf numFmtId="41" fontId="59" fillId="0" borderId="83" xfId="46" applyNumberFormat="1" applyFont="1" applyFill="1" applyBorder="1" applyAlignment="1">
      <alignment horizontal="center" vertical="center" wrapText="1"/>
    </xf>
    <xf numFmtId="41" fontId="59" fillId="0" borderId="67" xfId="46" applyNumberFormat="1" applyFont="1" applyFill="1" applyBorder="1" applyAlignment="1">
      <alignment horizontal="center" vertical="center" wrapText="1"/>
    </xf>
    <xf numFmtId="41" fontId="59" fillId="0" borderId="64" xfId="46" applyNumberFormat="1" applyFont="1" applyFill="1" applyBorder="1" applyAlignment="1">
      <alignment horizontal="center" vertical="center" wrapText="1"/>
    </xf>
    <xf numFmtId="9" fontId="42" fillId="0" borderId="0" xfId="46" applyNumberFormat="1" applyFont="1" applyAlignment="1">
      <alignment horizontal="left" wrapText="1"/>
    </xf>
    <xf numFmtId="0" fontId="45" fillId="0" borderId="6" xfId="69" applyFont="1" applyFill="1" applyBorder="1" applyAlignment="1" applyProtection="1">
      <alignment horizontal="center" wrapText="1"/>
      <protection hidden="1"/>
    </xf>
    <xf numFmtId="0" fontId="18" fillId="0" borderId="6" xfId="69" applyFont="1" applyFill="1" applyBorder="1" applyAlignment="1" applyProtection="1">
      <alignment horizontal="center" vertical="center" wrapText="1"/>
      <protection hidden="1"/>
    </xf>
    <xf numFmtId="0" fontId="16" fillId="0" borderId="6" xfId="69" applyFont="1" applyFill="1" applyBorder="1" applyAlignment="1" applyProtection="1">
      <alignment horizontal="center" vertical="center" wrapText="1"/>
      <protection hidden="1"/>
    </xf>
    <xf numFmtId="41" fontId="59" fillId="6" borderId="7" xfId="69" applyNumberFormat="1" applyFont="1" applyFill="1" applyBorder="1" applyAlignment="1">
      <alignment horizontal="center" vertical="center" wrapText="1"/>
    </xf>
    <xf numFmtId="41" fontId="59" fillId="0" borderId="7" xfId="69" applyNumberFormat="1" applyFont="1" applyFill="1" applyBorder="1" applyAlignment="1">
      <alignment horizontal="center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49" fontId="15" fillId="0" borderId="6" xfId="69" applyNumberFormat="1" applyFont="1" applyFill="1" applyBorder="1" applyAlignment="1" applyProtection="1">
      <alignment horizontal="center" vertical="center"/>
      <protection hidden="1"/>
    </xf>
    <xf numFmtId="49" fontId="11" fillId="0" borderId="17" xfId="69" applyNumberFormat="1" applyFont="1" applyFill="1" applyBorder="1" applyAlignment="1" applyProtection="1">
      <alignment horizontal="center"/>
      <protection hidden="1"/>
    </xf>
    <xf numFmtId="0" fontId="43" fillId="0" borderId="0" xfId="46" applyFont="1" applyBorder="1" applyAlignment="1">
      <alignment horizontal="left" vertical="center" wrapText="1"/>
    </xf>
    <xf numFmtId="0" fontId="15" fillId="0" borderId="71" xfId="46" applyFont="1" applyFill="1" applyBorder="1" applyAlignment="1">
      <alignment horizontal="center" vertical="center" wrapText="1"/>
    </xf>
    <xf numFmtId="0" fontId="15" fillId="0" borderId="72" xfId="46" applyFont="1" applyFill="1" applyBorder="1" applyAlignment="1">
      <alignment horizontal="center" vertical="center" wrapText="1"/>
    </xf>
    <xf numFmtId="3" fontId="18" fillId="5" borderId="71" xfId="69" applyNumberFormat="1" applyFont="1" applyFill="1" applyBorder="1" applyAlignment="1" applyProtection="1">
      <alignment vertical="top" wrapText="1"/>
      <protection hidden="1"/>
    </xf>
    <xf numFmtId="0" fontId="176" fillId="0" borderId="0" xfId="46" applyFont="1" applyAlignment="1">
      <alignment wrapText="1"/>
    </xf>
    <xf numFmtId="0" fontId="176" fillId="0" borderId="0" xfId="46" applyFont="1" applyAlignment="1">
      <alignment horizontal="left" wrapText="1"/>
    </xf>
    <xf numFmtId="0" fontId="48" fillId="0" borderId="0" xfId="46" applyFont="1"/>
    <xf numFmtId="0" fontId="37" fillId="0" borderId="71" xfId="46" applyFont="1" applyBorder="1" applyAlignment="1">
      <alignment horizontal="center" vertical="center" wrapText="1"/>
    </xf>
    <xf numFmtId="0" fontId="15" fillId="0" borderId="110" xfId="46" applyFont="1" applyFill="1" applyBorder="1" applyAlignment="1">
      <alignment horizontal="center" vertical="center" wrapText="1"/>
    </xf>
    <xf numFmtId="41" fontId="59" fillId="6" borderId="110" xfId="46" applyNumberFormat="1" applyFont="1" applyFill="1" applyBorder="1" applyAlignment="1">
      <alignment horizontal="center" vertical="center" wrapText="1"/>
    </xf>
    <xf numFmtId="41" fontId="59" fillId="0" borderId="110" xfId="46" applyNumberFormat="1" applyFont="1" applyFill="1" applyBorder="1" applyAlignment="1">
      <alignment horizontal="center" vertical="center" wrapText="1"/>
    </xf>
    <xf numFmtId="41" fontId="59" fillId="0" borderId="111" xfId="46" applyNumberFormat="1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0" fillId="6" borderId="103" xfId="0" applyFill="1" applyBorder="1"/>
    <xf numFmtId="43" fontId="11" fillId="0" borderId="0" xfId="7" applyFont="1" applyFill="1" applyBorder="1" applyAlignment="1">
      <alignment vertical="top"/>
    </xf>
    <xf numFmtId="0" fontId="0" fillId="0" borderId="0" xfId="0" applyFont="1"/>
    <xf numFmtId="41" fontId="59" fillId="6" borderId="9" xfId="0" applyNumberFormat="1" applyFont="1" applyFill="1" applyBorder="1" applyAlignment="1">
      <alignment horizontal="center" vertical="center"/>
    </xf>
    <xf numFmtId="0" fontId="180" fillId="0" borderId="0" xfId="284" applyFont="1" applyAlignment="1" applyProtection="1">
      <alignment horizontal="left"/>
      <protection hidden="1"/>
    </xf>
    <xf numFmtId="0" fontId="11" fillId="0" borderId="0" xfId="0" applyFont="1" applyFill="1" applyBorder="1" applyAlignment="1"/>
    <xf numFmtId="0" fontId="183" fillId="0" borderId="0" xfId="284" applyFont="1" applyAlignment="1" applyProtection="1">
      <alignment horizontal="left"/>
      <protection hidden="1"/>
    </xf>
    <xf numFmtId="0" fontId="83" fillId="0" borderId="0" xfId="1" applyFont="1" applyAlignment="1" applyProtection="1">
      <alignment horizontal="center"/>
      <protection hidden="1"/>
    </xf>
    <xf numFmtId="0" fontId="83" fillId="0" borderId="0" xfId="1" applyFont="1" applyAlignment="1" applyProtection="1">
      <alignment horizontal="left"/>
      <protection hidden="1"/>
    </xf>
    <xf numFmtId="14" fontId="30" fillId="0" borderId="0" xfId="1" applyNumberFormat="1" applyFont="1" applyAlignment="1" applyProtection="1">
      <alignment horizontal="right"/>
      <protection hidden="1"/>
    </xf>
    <xf numFmtId="0" fontId="184" fillId="0" borderId="0" xfId="284" applyFont="1" applyFill="1" applyAlignment="1" applyProtection="1">
      <alignment horizontal="left"/>
      <protection hidden="1"/>
    </xf>
    <xf numFmtId="0" fontId="83" fillId="0" borderId="0" xfId="1" applyFont="1" applyFill="1" applyBorder="1" applyAlignment="1" applyProtection="1">
      <protection hidden="1"/>
    </xf>
    <xf numFmtId="0" fontId="184" fillId="0" borderId="0" xfId="284" applyFont="1" applyAlignment="1" applyProtection="1">
      <alignment horizontal="left"/>
      <protection hidden="1"/>
    </xf>
    <xf numFmtId="0" fontId="185" fillId="0" borderId="0" xfId="46" applyFont="1"/>
    <xf numFmtId="0" fontId="30" fillId="0" borderId="0" xfId="46" applyFont="1"/>
    <xf numFmtId="0" fontId="186" fillId="0" borderId="0" xfId="46" applyFont="1" applyAlignment="1"/>
    <xf numFmtId="0" fontId="186" fillId="0" borderId="0" xfId="46" applyFont="1" applyAlignment="1">
      <alignment wrapText="1"/>
    </xf>
    <xf numFmtId="0" fontId="186" fillId="0" borderId="0" xfId="46" applyFont="1"/>
    <xf numFmtId="0" fontId="186" fillId="0" borderId="0" xfId="46" applyFont="1" applyFill="1" applyAlignment="1">
      <alignment wrapText="1"/>
    </xf>
    <xf numFmtId="0" fontId="83" fillId="0" borderId="0" xfId="1" applyFont="1" applyBorder="1" applyAlignment="1" applyProtection="1">
      <alignment horizontal="center"/>
      <protection hidden="1"/>
    </xf>
    <xf numFmtId="0" fontId="185" fillId="0" borderId="0" xfId="46" applyFont="1" applyFill="1" applyBorder="1"/>
    <xf numFmtId="0" fontId="187" fillId="0" borderId="0" xfId="46" applyFont="1" applyAlignment="1">
      <alignment horizontal="left" wrapText="1"/>
    </xf>
    <xf numFmtId="0" fontId="188" fillId="0" borderId="0" xfId="1" applyFont="1" applyAlignment="1" applyProtection="1">
      <protection hidden="1"/>
    </xf>
    <xf numFmtId="0" fontId="30" fillId="0" borderId="0" xfId="46" applyFont="1" applyFill="1" applyBorder="1"/>
    <xf numFmtId="0" fontId="189" fillId="0" borderId="0" xfId="284" applyFont="1" applyAlignment="1" applyProtection="1">
      <alignment horizontal="left"/>
      <protection hidden="1"/>
    </xf>
    <xf numFmtId="0" fontId="30" fillId="0" borderId="0" xfId="46" applyFont="1" applyFill="1" applyBorder="1" applyAlignment="1"/>
    <xf numFmtId="0" fontId="186" fillId="0" borderId="0" xfId="46" applyFont="1" applyAlignment="1">
      <alignment horizontal="left" wrapText="1"/>
    </xf>
    <xf numFmtId="0" fontId="190" fillId="0" borderId="0" xfId="284" applyFont="1" applyAlignment="1" applyProtection="1">
      <alignment horizontal="left"/>
      <protection hidden="1"/>
    </xf>
    <xf numFmtId="0" fontId="16" fillId="0" borderId="0" xfId="60" applyFont="1"/>
    <xf numFmtId="0" fontId="16" fillId="0" borderId="0" xfId="60" applyFont="1" applyAlignment="1">
      <alignment horizontal="left" vertical="center"/>
    </xf>
    <xf numFmtId="0" fontId="11" fillId="0" borderId="0" xfId="60" applyFont="1"/>
    <xf numFmtId="0" fontId="191" fillId="0" borderId="0" xfId="60" applyFont="1"/>
    <xf numFmtId="0" fontId="192" fillId="0" borderId="0" xfId="284" applyFont="1" applyAlignment="1" applyProtection="1">
      <alignment horizontal="left"/>
      <protection hidden="1"/>
    </xf>
    <xf numFmtId="0" fontId="183" fillId="0" borderId="0" xfId="284" applyFont="1" applyFill="1" applyAlignment="1" applyProtection="1">
      <alignment horizontal="left"/>
      <protection hidden="1"/>
    </xf>
    <xf numFmtId="9" fontId="17" fillId="0" borderId="69" xfId="46" applyNumberFormat="1" applyFont="1" applyFill="1" applyBorder="1" applyAlignment="1">
      <alignment horizontal="center" vertical="center" wrapText="1"/>
    </xf>
    <xf numFmtId="9" fontId="17" fillId="6" borderId="69" xfId="46" applyNumberFormat="1" applyFont="1" applyFill="1" applyBorder="1" applyAlignment="1">
      <alignment horizontal="center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0" fontId="16" fillId="0" borderId="71" xfId="69" applyFont="1" applyFill="1" applyBorder="1" applyAlignment="1" applyProtection="1">
      <alignment horizontal="center" vertical="center" wrapText="1"/>
      <protection hidden="1"/>
    </xf>
    <xf numFmtId="41" fontId="59" fillId="0" borderId="71" xfId="69" applyNumberFormat="1" applyFont="1" applyFill="1" applyBorder="1" applyAlignment="1">
      <alignment horizontal="center" vertical="center" wrapText="1"/>
    </xf>
    <xf numFmtId="49" fontId="15" fillId="0" borderId="71" xfId="69" applyNumberFormat="1" applyFont="1" applyFill="1" applyBorder="1" applyAlignment="1" applyProtection="1">
      <alignment horizontal="center" vertical="center"/>
      <protection hidden="1"/>
    </xf>
    <xf numFmtId="0" fontId="45" fillId="0" borderId="71" xfId="69" applyFont="1" applyFill="1" applyBorder="1" applyAlignment="1" applyProtection="1">
      <alignment horizontal="center" wrapText="1"/>
      <protection hidden="1"/>
    </xf>
    <xf numFmtId="0" fontId="46" fillId="0" borderId="71" xfId="69" applyFont="1" applyBorder="1" applyAlignment="1" applyProtection="1">
      <alignment vertical="center" wrapText="1"/>
      <protection hidden="1"/>
    </xf>
    <xf numFmtId="37" fontId="59" fillId="6" borderId="71" xfId="69" applyNumberFormat="1" applyFont="1" applyFill="1" applyBorder="1" applyAlignment="1">
      <alignment horizontal="center" vertical="center" wrapText="1"/>
    </xf>
    <xf numFmtId="37" fontId="59" fillId="0" borderId="71" xfId="69" applyNumberFormat="1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0" xfId="0" applyFont="1" applyBorder="1" applyAlignment="1">
      <alignment horizontal="left" vertical="center" wrapText="1" indent="1"/>
    </xf>
    <xf numFmtId="41" fontId="59" fillId="6" borderId="34" xfId="0" applyNumberFormat="1" applyFont="1" applyFill="1" applyBorder="1" applyAlignment="1">
      <alignment horizontal="center" vertical="center" wrapText="1"/>
    </xf>
    <xf numFmtId="41" fontId="59" fillId="3" borderId="25" xfId="0" applyNumberFormat="1" applyFont="1" applyFill="1" applyBorder="1" applyAlignment="1">
      <alignment horizontal="center"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14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left" vertical="center" wrapText="1" indent="1"/>
    </xf>
    <xf numFmtId="0" fontId="16" fillId="6" borderId="71" xfId="0" applyFont="1" applyFill="1" applyBorder="1" applyAlignment="1">
      <alignment horizontal="left" vertical="center" wrapText="1" indent="1"/>
    </xf>
    <xf numFmtId="41" fontId="59" fillId="6" borderId="73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30" fillId="0" borderId="72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49" fontId="11" fillId="0" borderId="5" xfId="72" applyNumberFormat="1" applyFont="1" applyFill="1" applyBorder="1" applyAlignment="1" applyProtection="1">
      <alignment horizontal="center" vertical="center"/>
      <protection hidden="1"/>
    </xf>
    <xf numFmtId="0" fontId="11" fillId="0" borderId="5" xfId="72" applyFont="1" applyFill="1" applyBorder="1" applyAlignment="1" applyProtection="1">
      <alignment horizontal="center" vertical="center"/>
      <protection hidden="1"/>
    </xf>
    <xf numFmtId="0" fontId="58" fillId="0" borderId="5" xfId="72" applyFont="1" applyFill="1" applyBorder="1" applyAlignment="1" applyProtection="1">
      <alignment horizontal="center" wrapText="1"/>
      <protection hidden="1"/>
    </xf>
    <xf numFmtId="0" fontId="145" fillId="0" borderId="60" xfId="72" applyFont="1" applyFill="1" applyBorder="1" applyAlignment="1" applyProtection="1">
      <alignment horizontal="center"/>
      <protection hidden="1"/>
    </xf>
    <xf numFmtId="49" fontId="11" fillId="0" borderId="7" xfId="72" applyNumberFormat="1" applyFont="1" applyFill="1" applyBorder="1" applyAlignment="1" applyProtection="1">
      <alignment horizontal="center" vertical="center" wrapText="1"/>
      <protection hidden="1"/>
    </xf>
    <xf numFmtId="0" fontId="16" fillId="0" borderId="5" xfId="72" applyFont="1" applyFill="1" applyBorder="1" applyAlignment="1" applyProtection="1">
      <alignment horizontal="center" wrapText="1"/>
      <protection hidden="1"/>
    </xf>
    <xf numFmtId="0" fontId="152" fillId="0" borderId="5" xfId="72" applyFont="1" applyFill="1" applyBorder="1" applyAlignment="1" applyProtection="1">
      <alignment horizontal="center" wrapText="1"/>
      <protection hidden="1"/>
    </xf>
    <xf numFmtId="0" fontId="14" fillId="7" borderId="69" xfId="6" applyFont="1" applyFill="1" applyBorder="1" applyAlignment="1">
      <alignment vertical="center" wrapText="1"/>
    </xf>
    <xf numFmtId="41" fontId="59" fillId="0" borderId="0" xfId="0" applyNumberFormat="1" applyFont="1" applyFill="1" applyBorder="1" applyAlignment="1">
      <alignment horizontal="center" vertical="center" wrapText="1"/>
    </xf>
    <xf numFmtId="41" fontId="59" fillId="0" borderId="109" xfId="0" applyNumberFormat="1" applyFont="1" applyFill="1" applyBorder="1" applyAlignment="1">
      <alignment horizontal="center" vertical="center" wrapText="1"/>
    </xf>
    <xf numFmtId="0" fontId="16" fillId="3" borderId="0" xfId="6" applyFont="1" applyFill="1" applyBorder="1" applyAlignment="1">
      <alignment horizontal="left" vertical="center" wrapText="1" indent="1"/>
    </xf>
    <xf numFmtId="0" fontId="7" fillId="3" borderId="72" xfId="0" applyFont="1" applyFill="1" applyBorder="1" applyAlignment="1">
      <alignment vertical="center" wrapText="1"/>
    </xf>
    <xf numFmtId="0" fontId="30" fillId="0" borderId="72" xfId="0" applyFont="1" applyFill="1" applyBorder="1" applyAlignment="1">
      <alignment vertical="center" wrapText="1"/>
    </xf>
    <xf numFmtId="0" fontId="14" fillId="0" borderId="0" xfId="6" applyFont="1" applyFill="1" applyAlignment="1">
      <alignment vertical="center"/>
    </xf>
    <xf numFmtId="0" fontId="30" fillId="8" borderId="11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33" fillId="8" borderId="1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left" vertical="center" wrapText="1" indent="1"/>
    </xf>
    <xf numFmtId="0" fontId="7" fillId="8" borderId="11" xfId="0" applyFont="1" applyFill="1" applyBorder="1" applyAlignment="1">
      <alignment horizontal="center" vertical="top" wrapText="1"/>
    </xf>
    <xf numFmtId="9" fontId="15" fillId="6" borderId="63" xfId="68" applyFont="1" applyFill="1" applyBorder="1" applyAlignment="1">
      <alignment horizontal="center" vertical="center"/>
    </xf>
    <xf numFmtId="9" fontId="15" fillId="6" borderId="109" xfId="68" applyFont="1" applyFill="1" applyBorder="1" applyAlignment="1">
      <alignment horizontal="center" vertical="center"/>
    </xf>
    <xf numFmtId="9" fontId="15" fillId="0" borderId="34" xfId="68" applyFont="1" applyFill="1" applyBorder="1" applyAlignment="1">
      <alignment horizontal="center" vertical="center"/>
    </xf>
    <xf numFmtId="41" fontId="54" fillId="0" borderId="14" xfId="0" applyNumberFormat="1" applyFont="1" applyFill="1" applyBorder="1" applyAlignment="1">
      <alignment horizontal="center" vertical="center" wrapText="1"/>
    </xf>
    <xf numFmtId="167" fontId="171" fillId="6" borderId="63" xfId="0" applyNumberFormat="1" applyFont="1" applyFill="1" applyBorder="1" applyAlignment="1">
      <alignment horizontal="center" vertical="center"/>
    </xf>
    <xf numFmtId="167" fontId="171" fillId="0" borderId="34" xfId="0" applyNumberFormat="1" applyFont="1" applyFill="1" applyBorder="1" applyAlignment="1">
      <alignment horizontal="center" vertical="center"/>
    </xf>
    <xf numFmtId="167" fontId="171" fillId="6" borderId="34" xfId="0" applyNumberFormat="1" applyFont="1" applyFill="1" applyBorder="1" applyAlignment="1">
      <alignment horizontal="center" vertical="center"/>
    </xf>
    <xf numFmtId="41" fontId="59" fillId="0" borderId="63" xfId="0" applyNumberFormat="1" applyFont="1" applyFill="1" applyBorder="1" applyAlignment="1">
      <alignment horizontal="center" vertical="center" wrapText="1"/>
    </xf>
    <xf numFmtId="0" fontId="14" fillId="7" borderId="72" xfId="6" applyFont="1" applyFill="1" applyBorder="1" applyAlignment="1">
      <alignment wrapText="1"/>
    </xf>
    <xf numFmtId="168" fontId="15" fillId="0" borderId="25" xfId="0" applyNumberFormat="1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wrapText="1"/>
    </xf>
    <xf numFmtId="0" fontId="7" fillId="8" borderId="12" xfId="0" applyFont="1" applyFill="1" applyBorder="1" applyAlignment="1">
      <alignment horizontal="center" vertical="center" wrapText="1"/>
    </xf>
    <xf numFmtId="0" fontId="64" fillId="8" borderId="58" xfId="0" applyFont="1" applyFill="1" applyBorder="1" applyAlignment="1">
      <alignment horizontal="center" vertical="center" wrapText="1"/>
    </xf>
    <xf numFmtId="0" fontId="30" fillId="8" borderId="71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168" fontId="68" fillId="0" borderId="23" xfId="0" applyNumberFormat="1" applyFont="1" applyFill="1" applyBorder="1" applyAlignment="1">
      <alignment horizontal="center" vertical="center" wrapText="1"/>
    </xf>
    <xf numFmtId="168" fontId="68" fillId="0" borderId="9" xfId="0" applyNumberFormat="1" applyFont="1" applyFill="1" applyBorder="1" applyAlignment="1">
      <alignment horizontal="center" vertical="center" wrapText="1"/>
    </xf>
    <xf numFmtId="0" fontId="16" fillId="3" borderId="71" xfId="0" applyFont="1" applyFill="1" applyBorder="1" applyAlignment="1">
      <alignment horizontal="left" vertical="center" wrapText="1" indent="1"/>
    </xf>
    <xf numFmtId="0" fontId="30" fillId="8" borderId="62" xfId="0" applyFont="1" applyFill="1" applyBorder="1" applyAlignment="1">
      <alignment horizontal="center" vertical="center" wrapText="1"/>
    </xf>
    <xf numFmtId="0" fontId="30" fillId="8" borderId="59" xfId="0" applyFont="1" applyFill="1" applyBorder="1" applyAlignment="1">
      <alignment horizontal="center" vertical="center" wrapText="1"/>
    </xf>
    <xf numFmtId="0" fontId="7" fillId="8" borderId="59" xfId="0" applyFont="1" applyFill="1" applyBorder="1" applyAlignment="1">
      <alignment horizontal="center" vertical="center" wrapText="1"/>
    </xf>
    <xf numFmtId="0" fontId="14" fillId="7" borderId="70" xfId="6" applyFont="1" applyFill="1" applyBorder="1" applyAlignment="1">
      <alignment wrapText="1"/>
    </xf>
    <xf numFmtId="0" fontId="30" fillId="8" borderId="5" xfId="0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0" fontId="12" fillId="8" borderId="70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41" fontId="68" fillId="0" borderId="34" xfId="0" applyNumberFormat="1" applyFont="1" applyFill="1" applyBorder="1" applyAlignment="1">
      <alignment horizontal="center" vertical="center" wrapText="1"/>
    </xf>
    <xf numFmtId="41" fontId="68" fillId="6" borderId="34" xfId="0" applyNumberFormat="1" applyFont="1" applyFill="1" applyBorder="1" applyAlignment="1">
      <alignment horizontal="center" vertical="center" wrapText="1"/>
    </xf>
    <xf numFmtId="41" fontId="68" fillId="6" borderId="36" xfId="0" applyNumberFormat="1" applyFont="1" applyFill="1" applyBorder="1" applyAlignment="1">
      <alignment horizontal="center" vertical="center" wrapText="1"/>
    </xf>
    <xf numFmtId="0" fontId="77" fillId="0" borderId="18" xfId="0" applyFont="1" applyBorder="1" applyAlignment="1">
      <alignment vertical="center" textRotation="90"/>
    </xf>
    <xf numFmtId="0" fontId="16" fillId="3" borderId="34" xfId="0" applyFont="1" applyFill="1" applyBorder="1" applyAlignment="1">
      <alignment horizontal="left" vertical="center" wrapText="1" indent="1"/>
    </xf>
    <xf numFmtId="0" fontId="16" fillId="3" borderId="34" xfId="0" applyFont="1" applyFill="1" applyBorder="1" applyAlignment="1">
      <alignment horizontal="center" vertical="center" wrapText="1"/>
    </xf>
    <xf numFmtId="41" fontId="59" fillId="3" borderId="34" xfId="0" applyNumberFormat="1" applyFont="1" applyFill="1" applyBorder="1" applyAlignment="1">
      <alignment horizontal="center" vertical="center" wrapText="1"/>
    </xf>
    <xf numFmtId="0" fontId="64" fillId="8" borderId="71" xfId="0" applyFont="1" applyFill="1" applyBorder="1" applyAlignment="1">
      <alignment horizontal="center" vertical="center" wrapText="1"/>
    </xf>
    <xf numFmtId="171" fontId="59" fillId="0" borderId="34" xfId="0" applyNumberFormat="1" applyFont="1" applyFill="1" applyBorder="1" applyAlignment="1">
      <alignment horizontal="center" vertical="center" wrapText="1"/>
    </xf>
    <xf numFmtId="0" fontId="17" fillId="6" borderId="71" xfId="46" applyFont="1" applyFill="1" applyBorder="1" applyAlignment="1">
      <alignment horizontal="left" vertical="center" wrapText="1" indent="1"/>
    </xf>
    <xf numFmtId="0" fontId="17" fillId="0" borderId="71" xfId="46" applyFont="1" applyFill="1" applyBorder="1" applyAlignment="1">
      <alignment horizontal="left" vertical="center" wrapText="1" indent="1"/>
    </xf>
    <xf numFmtId="0" fontId="14" fillId="6" borderId="71" xfId="46" applyFont="1" applyFill="1" applyBorder="1" applyAlignment="1">
      <alignment horizontal="center" vertical="center" textRotation="90" wrapText="1"/>
    </xf>
    <xf numFmtId="41" fontId="80" fillId="0" borderId="72" xfId="69" applyNumberFormat="1" applyFont="1" applyFill="1" applyBorder="1" applyAlignment="1">
      <alignment vertical="center" wrapText="1"/>
    </xf>
    <xf numFmtId="41" fontId="68" fillId="0" borderId="74" xfId="0" applyNumberFormat="1" applyFont="1" applyFill="1" applyBorder="1" applyAlignment="1">
      <alignment vertical="center" wrapText="1"/>
    </xf>
    <xf numFmtId="41" fontId="68" fillId="0" borderId="63" xfId="0" applyNumberFormat="1" applyFont="1" applyFill="1" applyBorder="1" applyAlignment="1">
      <alignment vertical="center" wrapText="1"/>
    </xf>
    <xf numFmtId="174" fontId="41" fillId="0" borderId="0" xfId="81" applyNumberFormat="1" applyFont="1" applyFill="1"/>
    <xf numFmtId="171" fontId="129" fillId="0" borderId="0" xfId="46" applyNumberFormat="1" applyFont="1" applyAlignment="1">
      <alignment vertical="center"/>
    </xf>
    <xf numFmtId="0" fontId="151" fillId="0" borderId="71" xfId="69" applyFont="1" applyFill="1" applyBorder="1" applyAlignment="1" applyProtection="1">
      <alignment horizontal="center" wrapText="1"/>
      <protection hidden="1"/>
    </xf>
    <xf numFmtId="175" fontId="195" fillId="0" borderId="0" xfId="46" applyNumberFormat="1" applyFont="1" applyAlignment="1">
      <alignment horizontal="left" vertical="center"/>
    </xf>
    <xf numFmtId="0" fontId="65" fillId="6" borderId="17" xfId="74" applyFont="1" applyFill="1" applyBorder="1" applyAlignment="1">
      <alignment vertical="center" wrapText="1"/>
    </xf>
    <xf numFmtId="0" fontId="65" fillId="6" borderId="16" xfId="74" applyFont="1" applyFill="1" applyBorder="1" applyAlignment="1">
      <alignment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6" borderId="103" xfId="0" applyFont="1" applyFill="1" applyBorder="1" applyAlignment="1">
      <alignment horizontal="center" vertical="center" wrapText="1"/>
    </xf>
    <xf numFmtId="0" fontId="12" fillId="0" borderId="105" xfId="0" applyFont="1" applyBorder="1" applyAlignment="1">
      <alignment horizontal="center" vertical="center" wrapText="1"/>
    </xf>
    <xf numFmtId="0" fontId="12" fillId="0" borderId="103" xfId="0" applyFont="1" applyBorder="1" applyAlignment="1">
      <alignment horizontal="center"/>
    </xf>
    <xf numFmtId="41" fontId="23" fillId="4" borderId="103" xfId="0" applyNumberFormat="1" applyFont="1" applyFill="1" applyBorder="1" applyAlignment="1">
      <alignment vertical="top"/>
    </xf>
    <xf numFmtId="0" fontId="39" fillId="6" borderId="59" xfId="0" applyFont="1" applyFill="1" applyBorder="1" applyAlignment="1">
      <alignment horizontal="center" vertical="center" wrapText="1"/>
    </xf>
    <xf numFmtId="0" fontId="39" fillId="6" borderId="103" xfId="0" applyFont="1" applyFill="1" applyBorder="1" applyAlignment="1">
      <alignment horizontal="center" vertical="center" wrapText="1"/>
    </xf>
    <xf numFmtId="0" fontId="12" fillId="8" borderId="103" xfId="0" applyFont="1" applyFill="1" applyBorder="1" applyAlignment="1">
      <alignment horizontal="center" vertical="center" wrapText="1"/>
    </xf>
    <xf numFmtId="0" fontId="12" fillId="60" borderId="103" xfId="0" applyFont="1" applyFill="1" applyBorder="1" applyAlignment="1">
      <alignment horizontal="center" vertical="center" wrapText="1"/>
    </xf>
    <xf numFmtId="0" fontId="12" fillId="58" borderId="103" xfId="0" applyFont="1" applyFill="1" applyBorder="1" applyAlignment="1">
      <alignment horizontal="center" vertical="center" wrapText="1"/>
    </xf>
    <xf numFmtId="41" fontId="23" fillId="0" borderId="59" xfId="0" applyNumberFormat="1" applyFont="1" applyFill="1" applyBorder="1" applyAlignment="1">
      <alignment vertical="top"/>
    </xf>
    <xf numFmtId="41" fontId="14" fillId="0" borderId="59" xfId="0" applyNumberFormat="1" applyFont="1" applyFill="1" applyBorder="1" applyAlignment="1">
      <alignment vertical="top"/>
    </xf>
    <xf numFmtId="171" fontId="16" fillId="0" borderId="59" xfId="7" applyNumberFormat="1" applyFont="1" applyFill="1" applyBorder="1" applyAlignment="1">
      <alignment horizontal="left" vertical="center" wrapText="1" indent="1"/>
    </xf>
    <xf numFmtId="9" fontId="12" fillId="0" borderId="59" xfId="0" applyNumberFormat="1" applyFont="1" applyFill="1" applyBorder="1" applyAlignment="1"/>
    <xf numFmtId="41" fontId="0" fillId="0" borderId="0" xfId="0" applyNumberFormat="1" applyFont="1" applyFill="1"/>
    <xf numFmtId="41" fontId="0" fillId="0" borderId="59" xfId="0" applyNumberFormat="1" applyFont="1" applyFill="1" applyBorder="1" applyAlignment="1">
      <alignment vertical="top"/>
    </xf>
    <xf numFmtId="0" fontId="0" fillId="67" borderId="0" xfId="0" applyFill="1"/>
    <xf numFmtId="0" fontId="12" fillId="6" borderId="108" xfId="0" applyFont="1" applyFill="1" applyBorder="1" applyAlignment="1">
      <alignment horizontal="center" vertical="center" wrapText="1"/>
    </xf>
    <xf numFmtId="0" fontId="12" fillId="2" borderId="103" xfId="0" applyFont="1" applyFill="1" applyBorder="1" applyAlignment="1">
      <alignment horizontal="center" vertical="center" wrapText="1"/>
    </xf>
    <xf numFmtId="9" fontId="63" fillId="0" borderId="0" xfId="0" applyNumberFormat="1" applyFont="1" applyBorder="1"/>
    <xf numFmtId="0" fontId="12" fillId="0" borderId="105" xfId="0" applyFont="1" applyBorder="1" applyAlignment="1">
      <alignment horizontal="center"/>
    </xf>
    <xf numFmtId="43" fontId="25" fillId="0" borderId="103" xfId="7" applyNumberFormat="1" applyFont="1" applyFill="1" applyBorder="1" applyAlignment="1">
      <alignment horizontal="left" vertical="center" wrapText="1" indent="1"/>
    </xf>
    <xf numFmtId="43" fontId="25" fillId="0" borderId="104" xfId="7" applyNumberFormat="1" applyFont="1" applyFill="1" applyBorder="1" applyAlignment="1">
      <alignment horizontal="left" vertical="center" wrapText="1" indent="1"/>
    </xf>
    <xf numFmtId="0" fontId="63" fillId="0" borderId="0" xfId="0" applyFont="1" applyBorder="1"/>
    <xf numFmtId="167" fontId="171" fillId="6" borderId="124" xfId="0" applyNumberFormat="1" applyFont="1" applyFill="1" applyBorder="1" applyAlignment="1">
      <alignment horizontal="center" vertical="center"/>
    </xf>
    <xf numFmtId="0" fontId="0" fillId="0" borderId="0" xfId="0" applyFont="1"/>
    <xf numFmtId="0" fontId="30" fillId="8" borderId="5" xfId="0" applyFont="1" applyFill="1" applyBorder="1" applyAlignment="1">
      <alignment horizontal="center" vertical="center" wrapText="1"/>
    </xf>
    <xf numFmtId="41" fontId="59" fillId="6" borderId="74" xfId="0" applyNumberFormat="1" applyFont="1" applyFill="1" applyBorder="1" applyAlignment="1">
      <alignment horizontal="center" vertical="center" wrapText="1"/>
    </xf>
    <xf numFmtId="41" fontId="59" fillId="0" borderId="35" xfId="0" applyNumberFormat="1" applyFont="1" applyFill="1" applyBorder="1" applyAlignment="1">
      <alignment horizontal="center" vertical="center" wrapText="1"/>
    </xf>
    <xf numFmtId="41" fontId="59" fillId="0" borderId="34" xfId="0" applyNumberFormat="1" applyFont="1" applyFill="1" applyBorder="1" applyAlignment="1">
      <alignment horizontal="center" vertical="center" wrapText="1"/>
    </xf>
    <xf numFmtId="41" fontId="59" fillId="0" borderId="36" xfId="0" applyNumberFormat="1" applyFont="1" applyFill="1" applyBorder="1" applyAlignment="1">
      <alignment horizontal="center" vertical="center" wrapText="1"/>
    </xf>
    <xf numFmtId="0" fontId="18" fillId="0" borderId="15" xfId="69" applyFont="1" applyFill="1" applyBorder="1" applyAlignment="1" applyProtection="1">
      <alignment horizontal="center" vertical="center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41" fontId="15" fillId="0" borderId="0" xfId="46" applyNumberFormat="1" applyFont="1"/>
    <xf numFmtId="41" fontId="11" fillId="0" borderId="2" xfId="0" applyNumberFormat="1" applyFont="1" applyBorder="1"/>
    <xf numFmtId="0" fontId="16" fillId="3" borderId="103" xfId="0" applyFont="1" applyFill="1" applyBorder="1" applyAlignment="1">
      <alignment horizontal="left" vertical="center" wrapText="1" indent="1"/>
    </xf>
    <xf numFmtId="0" fontId="7" fillId="3" borderId="72" xfId="0" applyFont="1" applyFill="1" applyBorder="1" applyAlignment="1">
      <alignment horizontal="center" vertical="center" wrapText="1"/>
    </xf>
    <xf numFmtId="41" fontId="7" fillId="0" borderId="59" xfId="0" applyNumberFormat="1" applyFont="1" applyFill="1" applyBorder="1" applyAlignment="1">
      <alignment vertical="top"/>
    </xf>
    <xf numFmtId="41" fontId="65" fillId="0" borderId="34" xfId="0" applyNumberFormat="1" applyFont="1" applyFill="1" applyBorder="1" applyAlignment="1">
      <alignment horizontal="center" vertical="center" wrapText="1"/>
    </xf>
    <xf numFmtId="3" fontId="18" fillId="4" borderId="106" xfId="69" applyNumberFormat="1" applyFont="1" applyFill="1" applyBorder="1" applyAlignment="1" applyProtection="1">
      <alignment vertical="center" wrapText="1"/>
      <protection hidden="1"/>
    </xf>
    <xf numFmtId="3" fontId="18" fillId="4" borderId="106" xfId="69" applyNumberFormat="1" applyFont="1" applyFill="1" applyBorder="1" applyAlignment="1" applyProtection="1">
      <alignment vertical="top" wrapText="1"/>
      <protection hidden="1"/>
    </xf>
    <xf numFmtId="3" fontId="18" fillId="4" borderId="108" xfId="69" applyNumberFormat="1" applyFont="1" applyFill="1" applyBorder="1" applyAlignment="1" applyProtection="1">
      <alignment vertical="center" wrapText="1"/>
      <protection hidden="1"/>
    </xf>
    <xf numFmtId="3" fontId="16" fillId="4" borderId="103" xfId="69" applyNumberFormat="1" applyFont="1" applyFill="1" applyBorder="1" applyAlignment="1" applyProtection="1">
      <alignment vertical="center" wrapText="1"/>
      <protection hidden="1"/>
    </xf>
    <xf numFmtId="3" fontId="15" fillId="0" borderId="103" xfId="46" applyNumberFormat="1" applyFont="1" applyBorder="1"/>
    <xf numFmtId="3" fontId="38" fillId="5" borderId="108" xfId="69" applyNumberFormat="1" applyFont="1" applyFill="1" applyBorder="1" applyAlignment="1" applyProtection="1">
      <alignment vertical="center" wrapText="1"/>
      <protection hidden="1"/>
    </xf>
    <xf numFmtId="3" fontId="16" fillId="64" borderId="103" xfId="69" applyNumberFormat="1" applyFont="1" applyFill="1" applyBorder="1" applyAlignment="1" applyProtection="1">
      <alignment vertical="center" wrapText="1"/>
      <protection hidden="1"/>
    </xf>
    <xf numFmtId="43" fontId="74" fillId="64" borderId="11" xfId="7" applyFont="1" applyFill="1" applyBorder="1" applyAlignment="1" applyProtection="1">
      <alignment horizontal="center" vertical="center" wrapText="1"/>
      <protection hidden="1"/>
    </xf>
    <xf numFmtId="3" fontId="74" fillId="64" borderId="103" xfId="69" applyNumberFormat="1" applyFont="1" applyFill="1" applyBorder="1" applyAlignment="1">
      <alignment horizontal="center" vertical="center" wrapText="1"/>
    </xf>
    <xf numFmtId="3" fontId="15" fillId="64" borderId="103" xfId="46" applyNumberFormat="1" applyFont="1" applyFill="1" applyBorder="1"/>
    <xf numFmtId="41" fontId="11" fillId="0" borderId="0" xfId="0" applyNumberFormat="1" applyFont="1" applyAlignment="1">
      <alignment horizontal="left"/>
    </xf>
    <xf numFmtId="0" fontId="0" fillId="0" borderId="4" xfId="0" applyFill="1" applyBorder="1"/>
    <xf numFmtId="41" fontId="0" fillId="0" borderId="0" xfId="0" applyNumberFormat="1"/>
    <xf numFmtId="41" fontId="59" fillId="0" borderId="81" xfId="0" applyNumberFormat="1" applyFont="1" applyFill="1" applyBorder="1" applyAlignment="1">
      <alignment horizontal="center" vertical="center" wrapText="1"/>
    </xf>
    <xf numFmtId="41" fontId="59" fillId="6" borderId="16" xfId="0" applyNumberFormat="1" applyFont="1" applyFill="1" applyBorder="1" applyAlignment="1">
      <alignment horizontal="center" vertical="center" wrapText="1"/>
    </xf>
    <xf numFmtId="41" fontId="59" fillId="6" borderId="33" xfId="0" applyNumberFormat="1" applyFont="1" applyFill="1" applyBorder="1" applyAlignment="1">
      <alignment horizontal="center" vertical="center" wrapText="1"/>
    </xf>
    <xf numFmtId="0" fontId="16" fillId="6" borderId="124" xfId="0" applyFont="1" applyFill="1" applyBorder="1" applyAlignment="1">
      <alignment horizontal="center" vertical="center" wrapText="1"/>
    </xf>
    <xf numFmtId="0" fontId="16" fillId="6" borderId="109" xfId="0" applyFont="1" applyFill="1" applyBorder="1" applyAlignment="1">
      <alignment horizontal="center" vertical="center" wrapText="1"/>
    </xf>
    <xf numFmtId="41" fontId="76" fillId="0" borderId="34" xfId="0" applyNumberFormat="1" applyFont="1" applyFill="1" applyBorder="1" applyAlignment="1">
      <alignment horizontal="center" vertical="center" wrapText="1"/>
    </xf>
    <xf numFmtId="0" fontId="23" fillId="7" borderId="69" xfId="6" applyFont="1" applyFill="1" applyBorder="1" applyAlignment="1">
      <alignment vertical="center" wrapText="1"/>
    </xf>
    <xf numFmtId="41" fontId="59" fillId="3" borderId="10" xfId="0" applyNumberFormat="1" applyFont="1" applyFill="1" applyBorder="1" applyAlignment="1">
      <alignment horizontal="center" vertical="center" wrapText="1"/>
    </xf>
    <xf numFmtId="3" fontId="30" fillId="5" borderId="59" xfId="7" applyNumberFormat="1" applyFont="1" applyFill="1" applyBorder="1" applyAlignment="1" applyProtection="1">
      <alignment vertical="center"/>
      <protection hidden="1"/>
    </xf>
    <xf numFmtId="3" fontId="18" fillId="64" borderId="11" xfId="69" applyNumberFormat="1" applyFont="1" applyFill="1" applyBorder="1" applyAlignment="1" applyProtection="1">
      <alignment horizontal="center" vertical="center" wrapText="1"/>
      <protection hidden="1"/>
    </xf>
    <xf numFmtId="3" fontId="25" fillId="64" borderId="59" xfId="69" applyNumberFormat="1" applyFont="1" applyFill="1" applyBorder="1" applyAlignment="1" applyProtection="1">
      <alignment vertical="center" wrapText="1"/>
      <protection hidden="1"/>
    </xf>
    <xf numFmtId="3" fontId="17" fillId="0" borderId="71" xfId="46" applyNumberFormat="1" applyFont="1" applyFill="1" applyBorder="1" applyAlignment="1">
      <alignment horizontal="left" vertical="center" wrapText="1" indent="1"/>
    </xf>
    <xf numFmtId="3" fontId="74" fillId="5" borderId="71" xfId="69" applyNumberFormat="1" applyFont="1" applyFill="1" applyBorder="1" applyAlignment="1">
      <alignment horizontal="center" vertical="center" wrapText="1"/>
    </xf>
    <xf numFmtId="3" fontId="74" fillId="6" borderId="72" xfId="69" applyNumberFormat="1" applyFont="1" applyFill="1" applyBorder="1" applyAlignment="1">
      <alignment vertical="center" wrapText="1"/>
    </xf>
    <xf numFmtId="3" fontId="74" fillId="58" borderId="72" xfId="69" applyNumberFormat="1" applyFont="1" applyFill="1" applyBorder="1" applyAlignment="1">
      <alignment vertical="center" wrapText="1"/>
    </xf>
    <xf numFmtId="3" fontId="18" fillId="0" borderId="71" xfId="46" applyNumberFormat="1" applyFont="1" applyFill="1" applyBorder="1" applyAlignment="1">
      <alignment horizontal="left" vertical="center" wrapText="1" indent="1"/>
    </xf>
    <xf numFmtId="3" fontId="74" fillId="57" borderId="71" xfId="69" applyNumberFormat="1" applyFont="1" applyFill="1" applyBorder="1" applyAlignment="1" applyProtection="1">
      <alignment vertical="center"/>
      <protection hidden="1"/>
    </xf>
    <xf numFmtId="3" fontId="74" fillId="6" borderId="71" xfId="69" applyNumberFormat="1" applyFont="1" applyFill="1" applyBorder="1" applyAlignment="1" applyProtection="1">
      <alignment vertical="center"/>
      <protection hidden="1"/>
    </xf>
    <xf numFmtId="3" fontId="74" fillId="58" borderId="71" xfId="69" applyNumberFormat="1" applyFont="1" applyFill="1" applyBorder="1" applyAlignment="1" applyProtection="1">
      <alignment vertical="center"/>
      <protection hidden="1"/>
    </xf>
    <xf numFmtId="3" fontId="18" fillId="0" borderId="70" xfId="46" applyNumberFormat="1" applyFont="1" applyFill="1" applyBorder="1" applyAlignment="1">
      <alignment horizontal="left" vertical="center" wrapText="1" indent="1"/>
    </xf>
    <xf numFmtId="3" fontId="37" fillId="6" borderId="71" xfId="69" applyNumberFormat="1" applyFont="1" applyFill="1" applyBorder="1" applyAlignment="1" applyProtection="1">
      <alignment vertical="center"/>
      <protection hidden="1"/>
    </xf>
    <xf numFmtId="3" fontId="150" fillId="0" borderId="0" xfId="69" applyNumberFormat="1" applyFont="1" applyFill="1" applyBorder="1" applyAlignment="1" applyProtection="1">
      <alignment vertical="center"/>
      <protection hidden="1"/>
    </xf>
    <xf numFmtId="3" fontId="37" fillId="5" borderId="5" xfId="69" applyNumberFormat="1" applyFont="1" applyFill="1" applyBorder="1" applyAlignment="1">
      <alignment horizontal="center" vertical="center" wrapText="1"/>
    </xf>
    <xf numFmtId="3" fontId="30" fillId="5" borderId="5" xfId="69" applyNumberFormat="1" applyFont="1" applyFill="1" applyBorder="1" applyAlignment="1">
      <alignment horizontal="center" vertical="center" wrapText="1"/>
    </xf>
    <xf numFmtId="3" fontId="16" fillId="4" borderId="72" xfId="69" applyNumberFormat="1" applyFont="1" applyFill="1" applyBorder="1" applyAlignment="1" applyProtection="1">
      <alignment vertical="center" wrapText="1"/>
      <protection hidden="1"/>
    </xf>
    <xf numFmtId="43" fontId="74" fillId="12" borderId="11" xfId="7" applyFont="1" applyFill="1" applyBorder="1" applyAlignment="1" applyProtection="1">
      <alignment vertical="center" wrapText="1"/>
      <protection hidden="1"/>
    </xf>
    <xf numFmtId="3" fontId="38" fillId="6" borderId="72" xfId="69" applyNumberFormat="1" applyFont="1" applyFill="1" applyBorder="1" applyAlignment="1">
      <alignment vertical="center" wrapText="1"/>
    </xf>
    <xf numFmtId="3" fontId="16" fillId="4" borderId="71" xfId="69" applyNumberFormat="1" applyFont="1" applyFill="1" applyBorder="1" applyAlignment="1" applyProtection="1">
      <alignment vertical="center"/>
      <protection hidden="1"/>
    </xf>
    <xf numFmtId="3" fontId="18" fillId="5" borderId="109" xfId="69" applyNumberFormat="1" applyFont="1" applyFill="1" applyBorder="1" applyAlignment="1" applyProtection="1">
      <alignment vertical="top" wrapText="1"/>
      <protection hidden="1"/>
    </xf>
    <xf numFmtId="3" fontId="30" fillId="58" borderId="59" xfId="69" applyNumberFormat="1" applyFont="1" applyFill="1" applyBorder="1" applyAlignment="1" applyProtection="1">
      <alignment vertical="center"/>
      <protection hidden="1"/>
    </xf>
    <xf numFmtId="41" fontId="59" fillId="6" borderId="5" xfId="69" applyNumberFormat="1" applyFont="1" applyFill="1" applyBorder="1" applyAlignment="1">
      <alignment horizontal="right" vertical="center" wrapText="1"/>
    </xf>
    <xf numFmtId="41" fontId="59" fillId="6" borderId="71" xfId="69" applyNumberFormat="1" applyFont="1" applyFill="1" applyBorder="1" applyAlignment="1">
      <alignment horizontal="right" vertical="center" wrapText="1"/>
    </xf>
    <xf numFmtId="41" fontId="59" fillId="0" borderId="71" xfId="69" applyNumberFormat="1" applyFont="1" applyFill="1" applyBorder="1" applyAlignment="1">
      <alignment horizontal="right" vertical="center" wrapText="1"/>
    </xf>
    <xf numFmtId="3" fontId="37" fillId="5" borderId="72" xfId="69" applyNumberFormat="1" applyFont="1" applyFill="1" applyBorder="1" applyAlignment="1">
      <alignment horizontal="center" vertical="center" wrapText="1"/>
    </xf>
    <xf numFmtId="0" fontId="18" fillId="0" borderId="109" xfId="69" applyFont="1" applyFill="1" applyBorder="1" applyAlignment="1" applyProtection="1">
      <alignment horizontal="center" vertical="center" wrapText="1"/>
      <protection hidden="1"/>
    </xf>
    <xf numFmtId="0" fontId="128" fillId="0" borderId="71" xfId="69" applyFont="1" applyFill="1" applyBorder="1" applyAlignment="1" applyProtection="1">
      <alignment vertical="center" wrapText="1"/>
      <protection hidden="1"/>
    </xf>
    <xf numFmtId="0" fontId="16" fillId="0" borderId="14" xfId="0" applyFont="1" applyFill="1" applyBorder="1" applyAlignment="1">
      <alignment horizontal="left" vertical="center" wrapText="1" inden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5" xfId="0" applyBorder="1"/>
    <xf numFmtId="0" fontId="33" fillId="0" borderId="71" xfId="0" applyFont="1" applyBorder="1" applyAlignment="1">
      <alignment horizontal="center" vertical="center"/>
    </xf>
    <xf numFmtId="0" fontId="33" fillId="0" borderId="71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4" borderId="71" xfId="0" applyFont="1" applyFill="1" applyBorder="1" applyAlignment="1">
      <alignment horizontal="center" vertical="center"/>
    </xf>
    <xf numFmtId="0" fontId="33" fillId="4" borderId="7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76" fontId="0" fillId="0" borderId="71" xfId="0" applyNumberFormat="1" applyBorder="1"/>
    <xf numFmtId="170" fontId="0" fillId="0" borderId="0" xfId="285" applyNumberFormat="1" applyFont="1" applyBorder="1"/>
    <xf numFmtId="170" fontId="0" fillId="4" borderId="71" xfId="285" applyNumberFormat="1" applyFont="1" applyFill="1" applyBorder="1"/>
    <xf numFmtId="170" fontId="7" fillId="4" borderId="71" xfId="285" applyNumberFormat="1" applyFont="1" applyFill="1" applyBorder="1"/>
    <xf numFmtId="170" fontId="14" fillId="4" borderId="71" xfId="285" applyNumberFormat="1" applyFont="1" applyFill="1" applyBorder="1"/>
    <xf numFmtId="0" fontId="0" fillId="0" borderId="112" xfId="0" applyBorder="1"/>
    <xf numFmtId="2" fontId="0" fillId="0" borderId="112" xfId="0" applyNumberFormat="1" applyBorder="1"/>
    <xf numFmtId="176" fontId="0" fillId="0" borderId="112" xfId="0" applyNumberFormat="1" applyBorder="1"/>
    <xf numFmtId="170" fontId="0" fillId="0" borderId="112" xfId="285" applyNumberFormat="1" applyFont="1" applyBorder="1"/>
    <xf numFmtId="170" fontId="0" fillId="4" borderId="112" xfId="285" applyNumberFormat="1" applyFont="1" applyFill="1" applyBorder="1"/>
    <xf numFmtId="0" fontId="0" fillId="0" borderId="109" xfId="0" applyBorder="1"/>
    <xf numFmtId="2" fontId="0" fillId="0" borderId="109" xfId="0" applyNumberFormat="1" applyBorder="1"/>
    <xf numFmtId="176" fontId="0" fillId="0" borderId="109" xfId="0" applyNumberFormat="1" applyBorder="1"/>
    <xf numFmtId="170" fontId="0" fillId="0" borderId="109" xfId="285" applyNumberFormat="1" applyFont="1" applyBorder="1"/>
    <xf numFmtId="170" fontId="0" fillId="4" borderId="109" xfId="285" applyNumberFormat="1" applyFont="1" applyFill="1" applyBorder="1"/>
    <xf numFmtId="170" fontId="0" fillId="0" borderId="11" xfId="285" applyNumberFormat="1" applyFont="1" applyBorder="1"/>
    <xf numFmtId="0" fontId="0" fillId="0" borderId="109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170" fontId="79" fillId="0" borderId="71" xfId="285" applyNumberFormat="1" applyFont="1" applyBorder="1"/>
    <xf numFmtId="0" fontId="33" fillId="0" borderId="0" xfId="0" applyFont="1" applyAlignment="1">
      <alignment horizontal="center" vertical="center"/>
    </xf>
    <xf numFmtId="170" fontId="11" fillId="0" borderId="71" xfId="285" applyNumberFormat="1" applyFont="1" applyBorder="1"/>
    <xf numFmtId="0" fontId="7" fillId="0" borderId="71" xfId="0" applyFont="1" applyBorder="1"/>
    <xf numFmtId="177" fontId="0" fillId="0" borderId="0" xfId="0" applyNumberFormat="1"/>
    <xf numFmtId="170" fontId="0" fillId="0" borderId="14" xfId="285" applyNumberFormat="1" applyFont="1" applyFill="1" applyBorder="1"/>
    <xf numFmtId="170" fontId="0" fillId="0" borderId="0" xfId="285" applyNumberFormat="1" applyFont="1" applyFill="1" applyBorder="1"/>
    <xf numFmtId="0" fontId="0" fillId="0" borderId="0" xfId="0" applyFill="1" applyBorder="1" applyAlignment="1">
      <alignment vertical="center" wrapText="1"/>
    </xf>
    <xf numFmtId="0" fontId="0" fillId="0" borderId="131" xfId="0" applyBorder="1"/>
    <xf numFmtId="0" fontId="0" fillId="0" borderId="133" xfId="0" applyBorder="1"/>
    <xf numFmtId="0" fontId="0" fillId="0" borderId="134" xfId="0" applyBorder="1"/>
    <xf numFmtId="41" fontId="0" fillId="0" borderId="0" xfId="0" applyNumberFormat="1" applyFont="1" applyFill="1" applyBorder="1"/>
    <xf numFmtId="41" fontId="59" fillId="0" borderId="34" xfId="0" applyNumberFormat="1" applyFont="1" applyFill="1" applyBorder="1" applyAlignment="1">
      <alignment horizontal="center" vertical="center" wrapText="1"/>
    </xf>
    <xf numFmtId="171" fontId="16" fillId="0" borderId="14" xfId="7" applyNumberFormat="1" applyFont="1" applyFill="1" applyBorder="1" applyAlignment="1">
      <alignment horizontal="left" vertical="center" wrapText="1" indent="1"/>
    </xf>
    <xf numFmtId="0" fontId="0" fillId="0" borderId="135" xfId="0" applyBorder="1"/>
    <xf numFmtId="170" fontId="0" fillId="0" borderId="135" xfId="285" applyNumberFormat="1" applyFont="1" applyBorder="1"/>
    <xf numFmtId="9" fontId="15" fillId="3" borderId="0" xfId="68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41" fontId="59" fillId="0" borderId="35" xfId="0" applyNumberFormat="1" applyFont="1" applyFill="1" applyBorder="1" applyAlignment="1">
      <alignment horizontal="center" vertical="center" wrapTex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4" fontId="25" fillId="0" borderId="60" xfId="7" applyNumberFormat="1" applyFont="1" applyFill="1" applyBorder="1" applyAlignment="1">
      <alignment horizontal="left" vertical="center" wrapText="1" indent="1"/>
    </xf>
    <xf numFmtId="3" fontId="31" fillId="59" borderId="5" xfId="69" applyNumberFormat="1" applyFont="1" applyFill="1" applyBorder="1" applyAlignment="1">
      <alignment horizontal="center" vertical="center" wrapText="1"/>
    </xf>
    <xf numFmtId="3" fontId="30" fillId="62" borderId="59" xfId="69" applyNumberFormat="1" applyFont="1" applyFill="1" applyBorder="1" applyAlignment="1" applyProtection="1">
      <alignment vertical="center"/>
      <protection hidden="1"/>
    </xf>
    <xf numFmtId="41" fontId="181" fillId="6" borderId="5" xfId="71" applyNumberFormat="1" applyFont="1" applyFill="1" applyBorder="1" applyAlignment="1">
      <alignment horizontal="center" vertical="center"/>
    </xf>
    <xf numFmtId="3" fontId="17" fillId="6" borderId="59" xfId="69" applyNumberFormat="1" applyFont="1" applyFill="1" applyBorder="1" applyAlignment="1" applyProtection="1">
      <alignment vertical="center" wrapText="1"/>
      <protection hidden="1"/>
    </xf>
    <xf numFmtId="43" fontId="15" fillId="0" borderId="135" xfId="7" applyFont="1" applyFill="1" applyBorder="1" applyAlignment="1" applyProtection="1">
      <alignment vertical="center"/>
      <protection hidden="1"/>
    </xf>
    <xf numFmtId="3" fontId="15" fillId="0" borderId="135" xfId="69" applyNumberFormat="1" applyFont="1" applyFill="1" applyBorder="1" applyAlignment="1" applyProtection="1">
      <alignment vertical="center"/>
      <protection hidden="1"/>
    </xf>
    <xf numFmtId="3" fontId="150" fillId="0" borderId="135" xfId="69" applyNumberFormat="1" applyFont="1" applyFill="1" applyBorder="1" applyAlignment="1" applyProtection="1">
      <alignment vertical="center"/>
      <protection hidden="1"/>
    </xf>
    <xf numFmtId="4" fontId="15" fillId="0" borderId="0" xfId="69" applyNumberFormat="1" applyFont="1" applyFill="1" applyAlignment="1" applyProtection="1">
      <alignment vertical="center"/>
      <protection hidden="1"/>
    </xf>
    <xf numFmtId="3" fontId="150" fillId="0" borderId="109" xfId="69" applyNumberFormat="1" applyFont="1" applyFill="1" applyBorder="1" applyAlignment="1" applyProtection="1">
      <alignment vertical="center"/>
      <protection hidden="1"/>
    </xf>
    <xf numFmtId="43" fontId="150" fillId="0" borderId="135" xfId="7" applyFont="1" applyBorder="1" applyAlignment="1" applyProtection="1">
      <alignment vertical="center"/>
      <protection hidden="1"/>
    </xf>
    <xf numFmtId="3" fontId="17" fillId="0" borderId="133" xfId="46" applyNumberFormat="1" applyFont="1" applyFill="1" applyBorder="1" applyAlignment="1">
      <alignment horizontal="left" vertical="center" wrapText="1" indent="1"/>
    </xf>
    <xf numFmtId="3" fontId="15" fillId="5" borderId="135" xfId="69" applyNumberFormat="1" applyFont="1" applyFill="1" applyBorder="1" applyAlignment="1">
      <alignment horizontal="center" vertical="center" wrapText="1"/>
    </xf>
    <xf numFmtId="3" fontId="74" fillId="6" borderId="133" xfId="69" applyNumberFormat="1" applyFont="1" applyFill="1" applyBorder="1" applyAlignment="1">
      <alignment vertical="center" wrapText="1"/>
    </xf>
    <xf numFmtId="3" fontId="15" fillId="6" borderId="133" xfId="69" applyNumberFormat="1" applyFont="1" applyFill="1" applyBorder="1" applyAlignment="1">
      <alignment vertical="center" wrapText="1"/>
    </xf>
    <xf numFmtId="3" fontId="15" fillId="58" borderId="133" xfId="69" applyNumberFormat="1" applyFont="1" applyFill="1" applyBorder="1" applyAlignment="1">
      <alignment vertical="center" wrapText="1"/>
    </xf>
    <xf numFmtId="3" fontId="18" fillId="0" borderId="133" xfId="46" applyNumberFormat="1" applyFont="1" applyFill="1" applyBorder="1" applyAlignment="1">
      <alignment horizontal="left" vertical="center" wrapText="1" indent="1"/>
    </xf>
    <xf numFmtId="3" fontId="74" fillId="5" borderId="135" xfId="69" applyNumberFormat="1" applyFont="1" applyFill="1" applyBorder="1" applyAlignment="1">
      <alignment horizontal="center" vertical="center" wrapText="1"/>
    </xf>
    <xf numFmtId="3" fontId="15" fillId="58" borderId="135" xfId="69" applyNumberFormat="1" applyFont="1" applyFill="1" applyBorder="1" applyAlignment="1" applyProtection="1">
      <alignment vertical="center"/>
      <protection hidden="1"/>
    </xf>
    <xf numFmtId="3" fontId="74" fillId="57" borderId="135" xfId="69" applyNumberFormat="1" applyFont="1" applyFill="1" applyBorder="1" applyAlignment="1" applyProtection="1">
      <alignment vertical="center"/>
      <protection hidden="1"/>
    </xf>
    <xf numFmtId="3" fontId="15" fillId="6" borderId="109" xfId="69" applyNumberFormat="1" applyFont="1" applyFill="1" applyBorder="1" applyAlignment="1" applyProtection="1">
      <alignment vertical="center"/>
      <protection hidden="1"/>
    </xf>
    <xf numFmtId="3" fontId="143" fillId="61" borderId="135" xfId="69" applyNumberFormat="1" applyFont="1" applyFill="1" applyBorder="1" applyAlignment="1" applyProtection="1">
      <alignment vertical="center"/>
      <protection hidden="1"/>
    </xf>
    <xf numFmtId="3" fontId="74" fillId="61" borderId="135" xfId="69" applyNumberFormat="1" applyFont="1" applyFill="1" applyBorder="1" applyAlignment="1" applyProtection="1">
      <alignment vertical="center"/>
      <protection hidden="1"/>
    </xf>
    <xf numFmtId="3" fontId="30" fillId="62" borderId="135" xfId="69" applyNumberFormat="1" applyFont="1" applyFill="1" applyBorder="1" applyAlignment="1" applyProtection="1">
      <alignment vertical="center"/>
      <protection hidden="1"/>
    </xf>
    <xf numFmtId="3" fontId="74" fillId="62" borderId="135" xfId="69" applyNumberFormat="1" applyFont="1" applyFill="1" applyBorder="1" applyAlignment="1" applyProtection="1">
      <alignment vertical="center"/>
      <protection hidden="1"/>
    </xf>
    <xf numFmtId="3" fontId="18" fillId="0" borderId="137" xfId="46" applyNumberFormat="1" applyFont="1" applyFill="1" applyBorder="1" applyAlignment="1">
      <alignment horizontal="left" vertical="center" wrapText="1" indent="1"/>
    </xf>
    <xf numFmtId="3" fontId="37" fillId="6" borderId="135" xfId="69" applyNumberFormat="1" applyFont="1" applyFill="1" applyBorder="1" applyAlignment="1" applyProtection="1">
      <alignment vertical="center"/>
      <protection hidden="1"/>
    </xf>
    <xf numFmtId="3" fontId="15" fillId="6" borderId="135" xfId="69" applyNumberFormat="1" applyFont="1" applyFill="1" applyBorder="1" applyAlignment="1" applyProtection="1">
      <alignment vertical="center"/>
      <protection hidden="1"/>
    </xf>
    <xf numFmtId="3" fontId="74" fillId="5" borderId="133" xfId="69" applyNumberFormat="1" applyFont="1" applyFill="1" applyBorder="1" applyAlignment="1">
      <alignment horizontal="center" vertical="center" wrapText="1"/>
    </xf>
    <xf numFmtId="3" fontId="15" fillId="58" borderId="133" xfId="69" applyNumberFormat="1" applyFont="1" applyFill="1" applyBorder="1" applyAlignment="1" applyProtection="1">
      <alignment vertical="center"/>
      <protection hidden="1"/>
    </xf>
    <xf numFmtId="41" fontId="65" fillId="6" borderId="59" xfId="75" applyNumberFormat="1" applyFont="1" applyFill="1" applyBorder="1" applyAlignment="1">
      <alignment horizontal="center" vertical="center" wrapText="1"/>
    </xf>
    <xf numFmtId="41" fontId="65" fillId="0" borderId="59" xfId="75" applyNumberFormat="1" applyFont="1" applyFill="1" applyBorder="1" applyAlignment="1">
      <alignment horizontal="center" vertical="center" wrapText="1"/>
    </xf>
    <xf numFmtId="170" fontId="0" fillId="4" borderId="135" xfId="285" applyNumberFormat="1" applyFont="1" applyFill="1" applyBorder="1"/>
    <xf numFmtId="0" fontId="0" fillId="0" borderId="135" xfId="0" applyFill="1" applyBorder="1"/>
    <xf numFmtId="0" fontId="17" fillId="3" borderId="19" xfId="46" applyFont="1" applyFill="1" applyBorder="1" applyAlignment="1">
      <alignment horizontal="left" vertical="center" wrapText="1" indent="1"/>
    </xf>
    <xf numFmtId="41" fontId="59" fillId="0" borderId="19" xfId="71" applyNumberFormat="1" applyFont="1" applyFill="1" applyBorder="1" applyAlignment="1">
      <alignment horizontal="center" vertical="center"/>
    </xf>
    <xf numFmtId="41" fontId="59" fillId="6" borderId="135" xfId="69" applyNumberFormat="1" applyFont="1" applyFill="1" applyBorder="1" applyAlignment="1">
      <alignment horizontal="center" vertical="center" wrapText="1"/>
    </xf>
    <xf numFmtId="41" fontId="59" fillId="6" borderId="135" xfId="69" applyNumberFormat="1" applyFont="1" applyFill="1" applyBorder="1" applyAlignment="1">
      <alignment horizontal="right" vertical="center" wrapText="1"/>
    </xf>
    <xf numFmtId="41" fontId="59" fillId="0" borderId="135" xfId="69" applyNumberFormat="1" applyFont="1" applyFill="1" applyBorder="1" applyAlignment="1">
      <alignment horizontal="center" vertical="center" wrapText="1"/>
    </xf>
    <xf numFmtId="41" fontId="59" fillId="0" borderId="135" xfId="69" applyNumberFormat="1" applyFont="1" applyFill="1" applyBorder="1" applyAlignment="1">
      <alignment horizontal="right" vertical="center" wrapText="1"/>
    </xf>
    <xf numFmtId="0" fontId="16" fillId="0" borderId="135" xfId="72" applyFont="1" applyFill="1" applyBorder="1" applyAlignment="1" applyProtection="1">
      <alignment horizontal="center" vertical="center" wrapText="1"/>
      <protection hidden="1"/>
    </xf>
    <xf numFmtId="41" fontId="80" fillId="6" borderId="135" xfId="69" applyNumberFormat="1" applyFont="1" applyFill="1" applyBorder="1" applyAlignment="1">
      <alignment vertical="center" wrapText="1"/>
    </xf>
    <xf numFmtId="41" fontId="80" fillId="3" borderId="135" xfId="69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167" fontId="37" fillId="0" borderId="0" xfId="0" applyNumberFormat="1" applyFont="1" applyFill="1" applyBorder="1" applyAlignment="1">
      <alignment horizontal="center" vertical="center"/>
    </xf>
    <xf numFmtId="170" fontId="0" fillId="0" borderId="14" xfId="285" applyNumberFormat="1" applyFont="1" applyBorder="1"/>
    <xf numFmtId="0" fontId="0" fillId="0" borderId="135" xfId="0" applyBorder="1" applyAlignment="1">
      <alignment vertical="center" wrapText="1"/>
    </xf>
    <xf numFmtId="41" fontId="59" fillId="0" borderId="135" xfId="0" applyNumberFormat="1" applyFont="1" applyFill="1" applyBorder="1" applyAlignment="1">
      <alignment horizontal="center" vertical="center"/>
    </xf>
    <xf numFmtId="41" fontId="59" fillId="6" borderId="135" xfId="0" applyNumberFormat="1" applyFont="1" applyFill="1" applyBorder="1" applyAlignment="1">
      <alignment horizontal="center" vertical="center"/>
    </xf>
    <xf numFmtId="41" fontId="65" fillId="0" borderId="135" xfId="0" applyNumberFormat="1" applyFont="1" applyFill="1" applyBorder="1" applyAlignment="1">
      <alignment horizontal="center" vertical="center"/>
    </xf>
    <xf numFmtId="41" fontId="65" fillId="6" borderId="135" xfId="0" applyNumberFormat="1" applyFont="1" applyFill="1" applyBorder="1" applyAlignment="1">
      <alignment horizontal="center" vertical="center"/>
    </xf>
    <xf numFmtId="41" fontId="59" fillId="0" borderId="136" xfId="0" applyNumberFormat="1" applyFont="1" applyFill="1" applyBorder="1" applyAlignment="1">
      <alignment horizontal="center" vertical="center"/>
    </xf>
    <xf numFmtId="41" fontId="59" fillId="6" borderId="146" xfId="0" applyNumberFormat="1" applyFont="1" applyFill="1" applyBorder="1" applyAlignment="1">
      <alignment horizontal="center" vertical="center" wrapText="1"/>
    </xf>
    <xf numFmtId="41" fontId="65" fillId="6" borderId="146" xfId="0" applyNumberFormat="1" applyFont="1" applyFill="1" applyBorder="1" applyAlignment="1">
      <alignment horizontal="center" vertical="center" wrapText="1"/>
    </xf>
    <xf numFmtId="41" fontId="65" fillId="0" borderId="109" xfId="0" applyNumberFormat="1" applyFont="1" applyFill="1" applyBorder="1" applyAlignment="1">
      <alignment horizontal="center" vertical="center" wrapText="1"/>
    </xf>
    <xf numFmtId="41" fontId="59" fillId="3" borderId="109" xfId="0" applyNumberFormat="1" applyFont="1" applyFill="1" applyBorder="1" applyAlignment="1">
      <alignment horizontal="center" vertical="center" wrapText="1"/>
    </xf>
    <xf numFmtId="41" fontId="65" fillId="3" borderId="109" xfId="0" applyNumberFormat="1" applyFont="1" applyFill="1" applyBorder="1" applyAlignment="1">
      <alignment horizontal="center" vertical="center" wrapText="1"/>
    </xf>
    <xf numFmtId="41" fontId="59" fillId="0" borderId="12" xfId="0" applyNumberFormat="1" applyFont="1" applyFill="1" applyBorder="1" applyAlignment="1">
      <alignment horizontal="center" vertical="center" wrapText="1"/>
    </xf>
    <xf numFmtId="0" fontId="14" fillId="8" borderId="71" xfId="0" applyFont="1" applyFill="1" applyBorder="1" applyAlignment="1">
      <alignment horizontal="center" vertical="center" wrapText="1"/>
    </xf>
    <xf numFmtId="0" fontId="14" fillId="0" borderId="72" xfId="0" applyFont="1" applyFill="1" applyBorder="1" applyAlignment="1">
      <alignment horizontal="center" vertical="center" wrapText="1"/>
    </xf>
    <xf numFmtId="41" fontId="59" fillId="0" borderId="146" xfId="0" applyNumberFormat="1" applyFont="1" applyFill="1" applyBorder="1" applyAlignment="1">
      <alignment horizontal="center" vertical="center" wrapText="1"/>
    </xf>
    <xf numFmtId="41" fontId="59" fillId="3" borderId="5" xfId="0" applyNumberFormat="1" applyFont="1" applyFill="1" applyBorder="1" applyAlignment="1">
      <alignment horizontal="right" vertical="center"/>
    </xf>
    <xf numFmtId="41" fontId="59" fillId="6" borderId="146" xfId="0" applyNumberFormat="1" applyFont="1" applyFill="1" applyBorder="1" applyAlignment="1">
      <alignment horizontal="center" vertical="center"/>
    </xf>
    <xf numFmtId="41" fontId="59" fillId="3" borderId="10" xfId="0" applyNumberFormat="1" applyFont="1" applyFill="1" applyBorder="1" applyAlignment="1">
      <alignment horizontal="center" vertical="center"/>
    </xf>
    <xf numFmtId="41" fontId="59" fillId="3" borderId="15" xfId="0" applyNumberFormat="1" applyFont="1" applyFill="1" applyBorder="1" applyAlignment="1">
      <alignment horizontal="center" vertical="center"/>
    </xf>
    <xf numFmtId="41" fontId="59" fillId="3" borderId="109" xfId="0" applyNumberFormat="1" applyFont="1" applyFill="1" applyBorder="1" applyAlignment="1">
      <alignment horizontal="center" vertical="center"/>
    </xf>
    <xf numFmtId="41" fontId="76" fillId="3" borderId="5" xfId="0" applyNumberFormat="1" applyFont="1" applyFill="1" applyBorder="1" applyAlignment="1">
      <alignment horizontal="center" vertical="center"/>
    </xf>
    <xf numFmtId="41" fontId="76" fillId="6" borderId="5" xfId="0" applyNumberFormat="1" applyFont="1" applyFill="1" applyBorder="1" applyAlignment="1">
      <alignment horizontal="center" vertical="center"/>
    </xf>
    <xf numFmtId="41" fontId="76" fillId="0" borderId="5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 indent="1"/>
    </xf>
    <xf numFmtId="0" fontId="27" fillId="4" borderId="71" xfId="0" applyFont="1" applyFill="1" applyBorder="1" applyAlignment="1">
      <alignment horizontal="center"/>
    </xf>
    <xf numFmtId="0" fontId="12" fillId="8" borderId="59" xfId="0" applyFont="1" applyFill="1" applyBorder="1" applyAlignment="1">
      <alignment horizontal="center" vertical="center" wrapText="1"/>
    </xf>
    <xf numFmtId="0" fontId="33" fillId="4" borderId="135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indent="1"/>
    </xf>
    <xf numFmtId="0" fontId="18" fillId="0" borderId="60" xfId="69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>
      <alignment horizontal="left" vertical="center" wrapText="1" indent="1"/>
    </xf>
    <xf numFmtId="0" fontId="17" fillId="6" borderId="5" xfId="0" applyFont="1" applyFill="1" applyBorder="1" applyAlignment="1">
      <alignment horizontal="left" vertical="center" wrapText="1" indent="1"/>
    </xf>
    <xf numFmtId="0" fontId="18" fillId="0" borderId="11" xfId="69" applyFont="1" applyFill="1" applyBorder="1" applyAlignment="1" applyProtection="1">
      <alignment horizontal="center" vertical="center" wrapText="1"/>
      <protection hidden="1"/>
    </xf>
    <xf numFmtId="0" fontId="18" fillId="0" borderId="71" xfId="69" applyFont="1" applyFill="1" applyBorder="1" applyAlignment="1" applyProtection="1">
      <alignment horizontal="center" vertic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41" fontId="59" fillId="6" borderId="71" xfId="69" applyNumberFormat="1" applyFont="1" applyFill="1" applyBorder="1" applyAlignment="1">
      <alignment horizontal="center" vertical="center" wrapText="1"/>
    </xf>
    <xf numFmtId="0" fontId="0" fillId="0" borderId="0" xfId="0" applyFont="1"/>
    <xf numFmtId="41" fontId="59" fillId="6" borderId="59" xfId="69" applyNumberFormat="1" applyFont="1" applyFill="1" applyBorder="1" applyAlignment="1">
      <alignment horizontal="center" vertical="center" wrapText="1"/>
    </xf>
    <xf numFmtId="0" fontId="43" fillId="0" borderId="0" xfId="46" applyFont="1" applyAlignment="1">
      <alignment horizontal="left"/>
    </xf>
    <xf numFmtId="0" fontId="197" fillId="7" borderId="61" xfId="0" applyFont="1" applyFill="1" applyBorder="1" applyAlignment="1">
      <alignment vertical="center"/>
    </xf>
    <xf numFmtId="41" fontId="65" fillId="0" borderId="5" xfId="0" applyNumberFormat="1" applyFont="1" applyFill="1" applyBorder="1" applyAlignment="1">
      <alignment horizontal="center" vertical="center"/>
    </xf>
    <xf numFmtId="41" fontId="65" fillId="6" borderId="5" xfId="0" applyNumberFormat="1" applyFont="1" applyFill="1" applyBorder="1" applyAlignment="1">
      <alignment horizontal="center" vertical="center"/>
    </xf>
    <xf numFmtId="3" fontId="18" fillId="4" borderId="71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71" xfId="69" applyNumberFormat="1" applyFont="1" applyFill="1" applyBorder="1" applyAlignment="1" applyProtection="1">
      <alignment vertical="center" wrapText="1"/>
      <protection hidden="1"/>
    </xf>
    <xf numFmtId="3" fontId="18" fillId="6" borderId="71" xfId="69" applyNumberFormat="1" applyFont="1" applyFill="1" applyBorder="1" applyAlignment="1" applyProtection="1">
      <alignment horizontal="center" vertical="top" wrapText="1"/>
      <protection hidden="1"/>
    </xf>
    <xf numFmtId="3" fontId="15" fillId="6" borderId="71" xfId="69" applyNumberFormat="1" applyFont="1" applyFill="1" applyBorder="1" applyAlignment="1" applyProtection="1">
      <alignment vertical="center" wrapText="1"/>
      <protection hidden="1"/>
    </xf>
    <xf numFmtId="3" fontId="17" fillId="6" borderId="71" xfId="69" applyNumberFormat="1" applyFont="1" applyFill="1" applyBorder="1" applyAlignment="1" applyProtection="1">
      <alignment vertical="center" wrapText="1"/>
      <protection hidden="1"/>
    </xf>
    <xf numFmtId="3" fontId="15" fillId="6" borderId="71" xfId="69" applyNumberFormat="1" applyFont="1" applyFill="1" applyBorder="1" applyAlignment="1" applyProtection="1">
      <alignment vertical="center"/>
      <protection hidden="1"/>
    </xf>
    <xf numFmtId="43" fontId="150" fillId="0" borderId="71" xfId="7" applyFont="1" applyBorder="1" applyAlignment="1" applyProtection="1">
      <alignment vertical="center"/>
      <protection hidden="1"/>
    </xf>
    <xf numFmtId="3" fontId="150" fillId="0" borderId="71" xfId="69" applyNumberFormat="1" applyFont="1" applyFill="1" applyBorder="1" applyAlignment="1" applyProtection="1">
      <alignment vertical="center"/>
      <protection hidden="1"/>
    </xf>
    <xf numFmtId="41" fontId="11" fillId="0" borderId="0" xfId="0" applyNumberFormat="1" applyFont="1" applyFill="1" applyBorder="1"/>
    <xf numFmtId="41" fontId="65" fillId="6" borderId="71" xfId="75" applyNumberFormat="1" applyFont="1" applyFill="1" applyBorder="1" applyAlignment="1">
      <alignment horizontal="center" vertical="center" wrapText="1"/>
    </xf>
    <xf numFmtId="9" fontId="15" fillId="0" borderId="0" xfId="68" applyFont="1" applyFill="1" applyBorder="1" applyAlignment="1">
      <alignment horizontal="center" vertical="center"/>
    </xf>
    <xf numFmtId="9" fontId="0" fillId="67" borderId="0" xfId="14" applyFont="1" applyFill="1"/>
    <xf numFmtId="41" fontId="0" fillId="67" borderId="0" xfId="0" applyNumberFormat="1" applyFill="1"/>
    <xf numFmtId="3" fontId="16" fillId="67" borderId="11" xfId="69" applyNumberFormat="1" applyFont="1" applyFill="1" applyBorder="1" applyAlignment="1" applyProtection="1">
      <alignment vertical="center" wrapText="1"/>
      <protection hidden="1"/>
    </xf>
    <xf numFmtId="3" fontId="30" fillId="6" borderId="60" xfId="69" applyNumberFormat="1" applyFont="1" applyFill="1" applyBorder="1" applyAlignment="1">
      <alignment vertical="center" wrapText="1"/>
    </xf>
    <xf numFmtId="3" fontId="16" fillId="67" borderId="60" xfId="69" applyNumberFormat="1" applyFont="1" applyFill="1" applyBorder="1" applyAlignment="1" applyProtection="1">
      <alignment vertical="center" wrapText="1"/>
      <protection hidden="1"/>
    </xf>
    <xf numFmtId="3" fontId="16" fillId="67" borderId="59" xfId="69" applyNumberFormat="1" applyFont="1" applyFill="1" applyBorder="1" applyAlignment="1" applyProtection="1">
      <alignment vertical="center"/>
      <protection hidden="1"/>
    </xf>
    <xf numFmtId="3" fontId="16" fillId="67" borderId="59" xfId="69" applyNumberFormat="1" applyFont="1" applyFill="1" applyBorder="1" applyAlignment="1" applyProtection="1">
      <alignment vertical="center" wrapText="1"/>
      <protection hidden="1"/>
    </xf>
    <xf numFmtId="3" fontId="30" fillId="64" borderId="5" xfId="69" applyNumberFormat="1" applyFont="1" applyFill="1" applyBorder="1" applyAlignment="1">
      <alignment horizontal="center" vertical="center" wrapText="1"/>
    </xf>
    <xf numFmtId="3" fontId="30" fillId="6" borderId="72" xfId="69" applyNumberFormat="1" applyFont="1" applyFill="1" applyBorder="1" applyAlignment="1">
      <alignment vertical="center" wrapText="1"/>
    </xf>
    <xf numFmtId="3" fontId="16" fillId="67" borderId="72" xfId="69" applyNumberFormat="1" applyFont="1" applyFill="1" applyBorder="1" applyAlignment="1" applyProtection="1">
      <alignment vertical="center" wrapText="1"/>
      <protection hidden="1"/>
    </xf>
    <xf numFmtId="3" fontId="16" fillId="67" borderId="12" xfId="69" applyNumberFormat="1" applyFont="1" applyFill="1" applyBorder="1" applyAlignment="1" applyProtection="1">
      <alignment horizontal="center" vertical="center" wrapText="1"/>
      <protection hidden="1"/>
    </xf>
    <xf numFmtId="3" fontId="16" fillId="67" borderId="103" xfId="69" applyNumberFormat="1" applyFont="1" applyFill="1" applyBorder="1" applyAlignment="1" applyProtection="1">
      <alignment vertical="center" wrapText="1"/>
      <protection hidden="1"/>
    </xf>
    <xf numFmtId="3" fontId="16" fillId="67" borderId="71" xfId="69" applyNumberFormat="1" applyFont="1" applyFill="1" applyBorder="1" applyAlignment="1" applyProtection="1">
      <alignment vertical="center"/>
      <protection hidden="1"/>
    </xf>
    <xf numFmtId="3" fontId="16" fillId="67" borderId="12" xfId="69" applyNumberFormat="1" applyFont="1" applyFill="1" applyBorder="1" applyAlignment="1" applyProtection="1">
      <alignment vertical="center" wrapText="1"/>
      <protection hidden="1"/>
    </xf>
    <xf numFmtId="3" fontId="16" fillId="67" borderId="0" xfId="69" applyNumberFormat="1" applyFont="1" applyFill="1" applyBorder="1" applyAlignment="1" applyProtection="1">
      <alignment vertical="center" wrapText="1"/>
      <protection hidden="1"/>
    </xf>
    <xf numFmtId="0" fontId="41" fillId="0" borderId="0" xfId="46" applyAlignment="1">
      <alignment horizontal="center"/>
    </xf>
    <xf numFmtId="0" fontId="43" fillId="0" borderId="0" xfId="46" applyFont="1" applyAlignment="1">
      <alignment horizontal="left"/>
    </xf>
    <xf numFmtId="3" fontId="30" fillId="0" borderId="71" xfId="46" applyNumberFormat="1" applyFont="1" applyBorder="1"/>
    <xf numFmtId="3" fontId="12" fillId="67" borderId="59" xfId="0" applyNumberFormat="1" applyFont="1" applyFill="1" applyBorder="1" applyAlignment="1">
      <alignment horizontal="center" vertical="center" wrapText="1"/>
    </xf>
    <xf numFmtId="3" fontId="12" fillId="67" borderId="59" xfId="71" applyNumberFormat="1" applyFont="1" applyFill="1" applyBorder="1" applyAlignment="1">
      <alignment vertical="center"/>
    </xf>
    <xf numFmtId="3" fontId="12" fillId="67" borderId="59" xfId="71" applyNumberFormat="1" applyFont="1" applyFill="1" applyBorder="1" applyAlignment="1">
      <alignment vertical="center" wrapText="1"/>
    </xf>
    <xf numFmtId="3" fontId="30" fillId="61" borderId="59" xfId="69" applyNumberFormat="1" applyFont="1" applyFill="1" applyBorder="1" applyAlignment="1" applyProtection="1">
      <alignment vertical="center"/>
      <protection hidden="1"/>
    </xf>
    <xf numFmtId="3" fontId="16" fillId="67" borderId="5" xfId="69" applyNumberFormat="1" applyFont="1" applyFill="1" applyBorder="1" applyAlignment="1" applyProtection="1">
      <alignment vertical="center" wrapText="1"/>
      <protection hidden="1"/>
    </xf>
    <xf numFmtId="3" fontId="12" fillId="67" borderId="59" xfId="69" applyNumberFormat="1" applyFont="1" applyFill="1" applyBorder="1" applyAlignment="1" applyProtection="1">
      <alignment vertical="center"/>
      <protection hidden="1"/>
    </xf>
    <xf numFmtId="0" fontId="16" fillId="0" borderId="5" xfId="69" applyNumberFormat="1" applyFont="1" applyFill="1" applyBorder="1" applyAlignment="1" applyProtection="1">
      <alignment horizontal="center" vertical="center" wrapText="1"/>
      <protection hidden="1"/>
    </xf>
    <xf numFmtId="41" fontId="80" fillId="6" borderId="69" xfId="69" applyNumberFormat="1" applyFont="1" applyFill="1" applyBorder="1" applyAlignment="1">
      <alignment vertical="center" wrapText="1"/>
    </xf>
    <xf numFmtId="41" fontId="80" fillId="0" borderId="69" xfId="69" applyNumberFormat="1" applyFont="1" applyFill="1" applyBorder="1" applyAlignment="1">
      <alignment vertical="center" wrapText="1"/>
    </xf>
    <xf numFmtId="0" fontId="145" fillId="0" borderId="71" xfId="72" applyFont="1" applyFill="1" applyBorder="1" applyAlignment="1" applyProtection="1">
      <alignment horizontal="center"/>
      <protection hidden="1"/>
    </xf>
    <xf numFmtId="41" fontId="80" fillId="6" borderId="71" xfId="69" applyNumberFormat="1" applyFont="1" applyFill="1" applyBorder="1" applyAlignment="1">
      <alignment vertical="center" wrapText="1"/>
    </xf>
    <xf numFmtId="41" fontId="80" fillId="0" borderId="71" xfId="69" applyNumberFormat="1" applyFont="1" applyFill="1" applyBorder="1" applyAlignment="1">
      <alignment vertical="center" wrapText="1"/>
    </xf>
    <xf numFmtId="3" fontId="16" fillId="67" borderId="59" xfId="69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 vertical="center" indent="1"/>
    </xf>
    <xf numFmtId="9" fontId="59" fillId="0" borderId="19" xfId="14" applyFont="1" applyFill="1" applyBorder="1" applyAlignment="1">
      <alignment horizontal="center" vertical="center"/>
    </xf>
    <xf numFmtId="41" fontId="65" fillId="0" borderId="71" xfId="75" applyNumberFormat="1" applyFont="1" applyFill="1" applyBorder="1" applyAlignment="1">
      <alignment horizontal="center" vertical="center" wrapText="1"/>
    </xf>
    <xf numFmtId="41" fontId="182" fillId="0" borderId="34" xfId="0" applyNumberFormat="1" applyFont="1" applyFill="1" applyBorder="1" applyAlignment="1">
      <alignment horizontal="center" vertical="center"/>
    </xf>
    <xf numFmtId="41" fontId="65" fillId="0" borderId="34" xfId="0" applyNumberFormat="1" applyFont="1" applyFill="1" applyBorder="1" applyAlignment="1">
      <alignment horizontal="center" vertical="center"/>
    </xf>
    <xf numFmtId="0" fontId="73" fillId="7" borderId="60" xfId="0" applyFont="1" applyFill="1" applyBorder="1" applyAlignment="1">
      <alignment vertical="center"/>
    </xf>
    <xf numFmtId="0" fontId="73" fillId="7" borderId="61" xfId="0" applyFont="1" applyFill="1" applyBorder="1" applyAlignment="1">
      <alignment vertical="center"/>
    </xf>
    <xf numFmtId="0" fontId="73" fillId="7" borderId="69" xfId="0" applyFont="1" applyFill="1" applyBorder="1" applyAlignment="1">
      <alignment vertical="center"/>
    </xf>
    <xf numFmtId="9" fontId="37" fillId="6" borderId="63" xfId="68" applyFont="1" applyFill="1" applyBorder="1" applyAlignment="1">
      <alignment horizontal="center" vertical="center"/>
    </xf>
    <xf numFmtId="9" fontId="37" fillId="6" borderId="109" xfId="68" applyFont="1" applyFill="1" applyBorder="1" applyAlignment="1">
      <alignment horizontal="center" vertical="center"/>
    </xf>
    <xf numFmtId="9" fontId="37" fillId="0" borderId="34" xfId="68" applyFont="1" applyFill="1" applyBorder="1" applyAlignment="1">
      <alignment horizontal="center" vertical="center"/>
    </xf>
    <xf numFmtId="9" fontId="15" fillId="3" borderId="36" xfId="68" applyFont="1" applyFill="1" applyBorder="1" applyAlignment="1">
      <alignment horizontal="center" vertical="center"/>
    </xf>
    <xf numFmtId="41" fontId="59" fillId="6" borderId="146" xfId="0" applyNumberFormat="1" applyFont="1" applyFill="1" applyBorder="1" applyAlignment="1">
      <alignment horizontal="right" vertical="center" wrapText="1"/>
    </xf>
    <xf numFmtId="41" fontId="59" fillId="3" borderId="109" xfId="0" applyNumberFormat="1" applyFont="1" applyFill="1" applyBorder="1" applyAlignment="1">
      <alignment horizontal="right" vertical="center" wrapText="1"/>
    </xf>
    <xf numFmtId="0" fontId="41" fillId="6" borderId="0" xfId="46" applyFill="1"/>
    <xf numFmtId="0" fontId="17" fillId="0" borderId="71" xfId="46" applyFont="1" applyFill="1" applyBorder="1" applyAlignment="1">
      <alignment vertical="center" wrapText="1"/>
    </xf>
    <xf numFmtId="0" fontId="146" fillId="0" borderId="11" xfId="46" applyFont="1" applyBorder="1" applyAlignment="1">
      <alignment horizontal="center" vertical="center" wrapText="1"/>
    </xf>
    <xf numFmtId="0" fontId="146" fillId="6" borderId="41" xfId="46" applyFont="1" applyFill="1" applyBorder="1" applyAlignment="1">
      <alignment horizontal="center" vertical="center" wrapText="1"/>
    </xf>
    <xf numFmtId="9" fontId="146" fillId="6" borderId="41" xfId="46" applyNumberFormat="1" applyFont="1" applyFill="1" applyBorder="1" applyAlignment="1">
      <alignment horizontal="center" vertical="center" wrapText="1"/>
    </xf>
    <xf numFmtId="0" fontId="147" fillId="6" borderId="41" xfId="46" applyFont="1" applyFill="1" applyBorder="1" applyAlignment="1">
      <alignment horizontal="center" vertical="center" wrapText="1"/>
    </xf>
    <xf numFmtId="9" fontId="146" fillId="6" borderId="109" xfId="46" applyNumberFormat="1" applyFont="1" applyFill="1" applyBorder="1" applyAlignment="1">
      <alignment horizontal="center" vertical="center" wrapText="1"/>
    </xf>
    <xf numFmtId="9" fontId="146" fillId="0" borderId="109" xfId="46" applyNumberFormat="1" applyFont="1" applyFill="1" applyBorder="1" applyAlignment="1">
      <alignment horizontal="center" vertical="center" wrapText="1"/>
    </xf>
    <xf numFmtId="0" fontId="146" fillId="0" borderId="141" xfId="46" applyFont="1" applyFill="1" applyBorder="1" applyAlignment="1">
      <alignment horizontal="center" vertical="center" wrapText="1"/>
    </xf>
    <xf numFmtId="9" fontId="146" fillId="0" borderId="141" xfId="46" applyNumberFormat="1" applyFont="1" applyFill="1" applyBorder="1" applyAlignment="1">
      <alignment horizontal="center" vertical="center" wrapText="1"/>
    </xf>
    <xf numFmtId="0" fontId="147" fillId="0" borderId="141" xfId="46" applyFont="1" applyFill="1" applyBorder="1" applyAlignment="1">
      <alignment horizontal="center" vertical="center" wrapText="1"/>
    </xf>
    <xf numFmtId="9" fontId="147" fillId="0" borderId="142" xfId="46" applyNumberFormat="1" applyFont="1" applyFill="1" applyBorder="1" applyAlignment="1">
      <alignment horizontal="center" vertical="center" wrapText="1"/>
    </xf>
    <xf numFmtId="9" fontId="146" fillId="0" borderId="88" xfId="46" applyNumberFormat="1" applyFont="1" applyFill="1" applyBorder="1" applyAlignment="1">
      <alignment horizontal="center" vertical="center" wrapText="1"/>
    </xf>
    <xf numFmtId="0" fontId="66" fillId="0" borderId="0" xfId="46" applyFont="1" applyAlignment="1">
      <alignment horizontal="left"/>
    </xf>
    <xf numFmtId="0" fontId="146" fillId="6" borderId="29" xfId="46" applyFont="1" applyFill="1" applyBorder="1" applyAlignment="1">
      <alignment horizontal="center" vertical="center" wrapText="1"/>
    </xf>
    <xf numFmtId="0" fontId="146" fillId="0" borderId="138" xfId="46" applyFont="1" applyFill="1" applyBorder="1" applyAlignment="1">
      <alignment horizontal="center" vertical="center" wrapText="1"/>
    </xf>
    <xf numFmtId="9" fontId="147" fillId="0" borderId="139" xfId="46" applyNumberFormat="1" applyFont="1" applyFill="1" applyBorder="1" applyAlignment="1">
      <alignment horizontal="center" vertical="center" wrapText="1"/>
    </xf>
    <xf numFmtId="0" fontId="146" fillId="6" borderId="138" xfId="46" applyFont="1" applyFill="1" applyBorder="1" applyAlignment="1">
      <alignment horizontal="center" vertical="center" wrapText="1"/>
    </xf>
    <xf numFmtId="0" fontId="146" fillId="0" borderId="140" xfId="46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 vertical="center" indent="2"/>
    </xf>
    <xf numFmtId="0" fontId="31" fillId="0" borderId="7" xfId="71" applyFont="1" applyFill="1" applyBorder="1" applyAlignment="1">
      <alignment horizontal="center" vertical="center" wrapText="1"/>
    </xf>
    <xf numFmtId="0" fontId="31" fillId="0" borderId="5" xfId="71" applyFont="1" applyFill="1" applyBorder="1" applyAlignment="1">
      <alignment horizontal="center" vertical="center" wrapText="1"/>
    </xf>
    <xf numFmtId="0" fontId="31" fillId="0" borderId="5" xfId="71" applyFont="1" applyFill="1" applyBorder="1" applyAlignment="1">
      <alignment horizontal="left" vertical="top" indent="1"/>
    </xf>
    <xf numFmtId="0" fontId="31" fillId="0" borderId="5" xfId="71" applyFont="1" applyFill="1" applyBorder="1" applyAlignment="1">
      <alignment horizontal="left" vertical="top" wrapText="1" indent="1"/>
    </xf>
    <xf numFmtId="0" fontId="12" fillId="0" borderId="6" xfId="71" applyFont="1" applyFill="1" applyBorder="1" applyAlignment="1">
      <alignment horizontal="center" vertical="center"/>
    </xf>
    <xf numFmtId="0" fontId="12" fillId="0" borderId="5" xfId="71" applyFont="1" applyFill="1" applyBorder="1" applyAlignment="1">
      <alignment horizontal="center" vertical="center"/>
    </xf>
    <xf numFmtId="0" fontId="12" fillId="0" borderId="7" xfId="71" applyFont="1" applyFill="1" applyBorder="1" applyAlignment="1">
      <alignment horizontal="center" vertical="center"/>
    </xf>
    <xf numFmtId="0" fontId="12" fillId="0" borderId="60" xfId="71" applyFont="1" applyFill="1" applyBorder="1" applyAlignment="1">
      <alignment horizontal="center" vertical="center" wrapText="1"/>
    </xf>
    <xf numFmtId="9" fontId="15" fillId="3" borderId="10" xfId="68" applyFont="1" applyFill="1" applyBorder="1" applyAlignment="1">
      <alignment horizontal="center" vertical="center"/>
    </xf>
    <xf numFmtId="0" fontId="16" fillId="0" borderId="0" xfId="6" applyFont="1" applyFill="1" applyBorder="1" applyAlignment="1">
      <alignment horizontal="left" vertical="center" wrapText="1" indent="1"/>
    </xf>
    <xf numFmtId="43" fontId="77" fillId="0" borderId="0" xfId="7" applyFont="1" applyBorder="1" applyAlignment="1">
      <alignment horizontal="center" vertical="center" textRotation="90" wrapText="1"/>
    </xf>
    <xf numFmtId="0" fontId="147" fillId="0" borderId="0" xfId="46" applyFont="1" applyFill="1" applyBorder="1" applyAlignment="1">
      <alignment vertical="center" wrapText="1"/>
    </xf>
    <xf numFmtId="0" fontId="147" fillId="0" borderId="0" xfId="46" applyFont="1" applyFill="1" applyBorder="1" applyAlignment="1">
      <alignment horizontal="center"/>
    </xf>
    <xf numFmtId="9" fontId="147" fillId="0" borderId="0" xfId="46" applyNumberFormat="1" applyFont="1" applyFill="1" applyBorder="1" applyAlignment="1">
      <alignment horizontal="center"/>
    </xf>
    <xf numFmtId="0" fontId="0" fillId="0" borderId="0" xfId="0" applyFont="1"/>
    <xf numFmtId="9" fontId="11" fillId="0" borderId="41" xfId="46" applyNumberFormat="1" applyFont="1" applyBorder="1" applyAlignment="1">
      <alignment horizontal="center" vertical="center"/>
    </xf>
    <xf numFmtId="0" fontId="11" fillId="0" borderId="30" xfId="46" applyFont="1" applyBorder="1" applyAlignment="1">
      <alignment horizontal="left" vertical="center" indent="1"/>
    </xf>
    <xf numFmtId="9" fontId="11" fillId="6" borderId="135" xfId="46" applyNumberFormat="1" applyFont="1" applyFill="1" applyBorder="1" applyAlignment="1">
      <alignment horizontal="center" vertical="center"/>
    </xf>
    <xf numFmtId="0" fontId="11" fillId="6" borderId="139" xfId="46" applyFont="1" applyFill="1" applyBorder="1" applyAlignment="1">
      <alignment horizontal="left" vertical="center" indent="1"/>
    </xf>
    <xf numFmtId="9" fontId="11" fillId="0" borderId="135" xfId="46" applyNumberFormat="1" applyFont="1" applyBorder="1" applyAlignment="1">
      <alignment horizontal="center" vertical="center"/>
    </xf>
    <xf numFmtId="0" fontId="11" fillId="0" borderId="139" xfId="46" applyFont="1" applyBorder="1" applyAlignment="1">
      <alignment horizontal="left" vertical="center" indent="1"/>
    </xf>
    <xf numFmtId="9" fontId="11" fillId="6" borderId="141" xfId="46" applyNumberFormat="1" applyFont="1" applyFill="1" applyBorder="1" applyAlignment="1">
      <alignment horizontal="center" vertical="center"/>
    </xf>
    <xf numFmtId="0" fontId="11" fillId="6" borderId="142" xfId="46" applyFont="1" applyFill="1" applyBorder="1" applyAlignment="1">
      <alignment horizontal="left" vertical="center" indent="1"/>
    </xf>
    <xf numFmtId="0" fontId="135" fillId="0" borderId="135" xfId="60" applyFont="1" applyBorder="1"/>
    <xf numFmtId="0" fontId="62" fillId="0" borderId="135" xfId="60" applyBorder="1"/>
    <xf numFmtId="0" fontId="33" fillId="0" borderId="135" xfId="60" applyFont="1" applyBorder="1"/>
    <xf numFmtId="0" fontId="199" fillId="0" borderId="135" xfId="284" applyFont="1" applyBorder="1" applyAlignment="1" applyProtection="1"/>
    <xf numFmtId="9" fontId="146" fillId="0" borderId="135" xfId="46" applyNumberFormat="1" applyFont="1" applyFill="1" applyBorder="1" applyAlignment="1">
      <alignment horizontal="center" vertical="center" wrapText="1"/>
    </xf>
    <xf numFmtId="0" fontId="147" fillId="0" borderId="135" xfId="46" applyFont="1" applyFill="1" applyBorder="1" applyAlignment="1">
      <alignment horizontal="center" vertical="center" wrapText="1"/>
    </xf>
    <xf numFmtId="0" fontId="18" fillId="0" borderId="0" xfId="46" applyFont="1" applyAlignment="1">
      <alignment horizontal="left" vertical="center" indent="1"/>
    </xf>
    <xf numFmtId="9" fontId="146" fillId="6" borderId="135" xfId="46" applyNumberFormat="1" applyFont="1" applyFill="1" applyBorder="1" applyAlignment="1">
      <alignment horizontal="center" vertical="center" wrapText="1"/>
    </xf>
    <xf numFmtId="0" fontId="147" fillId="6" borderId="135" xfId="46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 vertical="center" wrapText="1"/>
    </xf>
    <xf numFmtId="0" fontId="147" fillId="0" borderId="17" xfId="46" applyFont="1" applyBorder="1" applyAlignment="1">
      <alignment horizontal="center" vertical="center" wrapText="1"/>
    </xf>
    <xf numFmtId="9" fontId="147" fillId="6" borderId="150" xfId="46" applyNumberFormat="1" applyFont="1" applyFill="1" applyBorder="1" applyAlignment="1">
      <alignment horizontal="center" vertical="center" wrapText="1"/>
    </xf>
    <xf numFmtId="9" fontId="147" fillId="0" borderId="133" xfId="46" applyNumberFormat="1" applyFont="1" applyFill="1" applyBorder="1" applyAlignment="1">
      <alignment horizontal="center" vertical="center" wrapText="1"/>
    </xf>
    <xf numFmtId="9" fontId="147" fillId="6" borderId="133" xfId="46" applyNumberFormat="1" applyFont="1" applyFill="1" applyBorder="1" applyAlignment="1">
      <alignment horizontal="center" vertical="center" wrapText="1"/>
    </xf>
    <xf numFmtId="9" fontId="147" fillId="3" borderId="133" xfId="46" applyNumberFormat="1" applyFont="1" applyFill="1" applyBorder="1" applyAlignment="1">
      <alignment horizontal="center" vertical="center" wrapText="1"/>
    </xf>
    <xf numFmtId="9" fontId="147" fillId="0" borderId="152" xfId="46" applyNumberFormat="1" applyFont="1" applyFill="1" applyBorder="1" applyAlignment="1">
      <alignment horizontal="center" vertical="center" wrapText="1"/>
    </xf>
    <xf numFmtId="0" fontId="146" fillId="0" borderId="135" xfId="46" applyFont="1" applyFill="1" applyBorder="1" applyAlignment="1">
      <alignment horizontal="center" vertical="center" wrapText="1"/>
    </xf>
    <xf numFmtId="0" fontId="146" fillId="6" borderId="135" xfId="46" applyFont="1" applyFill="1" applyBorder="1" applyAlignment="1">
      <alignment horizontal="center" vertical="center" wrapText="1"/>
    </xf>
    <xf numFmtId="0" fontId="33" fillId="0" borderId="154" xfId="0" applyFont="1" applyBorder="1" applyAlignment="1">
      <alignment horizontal="center"/>
    </xf>
    <xf numFmtId="0" fontId="33" fillId="0" borderId="155" xfId="0" applyFont="1" applyBorder="1" applyAlignment="1">
      <alignment horizontal="center"/>
    </xf>
    <xf numFmtId="0" fontId="33" fillId="0" borderId="156" xfId="0" applyFont="1" applyBorder="1" applyAlignment="1">
      <alignment horizontal="center"/>
    </xf>
    <xf numFmtId="0" fontId="0" fillId="0" borderId="157" xfId="0" applyBorder="1" applyAlignment="1">
      <alignment horizontal="right" vertical="center"/>
    </xf>
    <xf numFmtId="0" fontId="0" fillId="0" borderId="160" xfId="0" applyBorder="1" applyAlignment="1">
      <alignment horizontal="right" vertical="center"/>
    </xf>
    <xf numFmtId="0" fontId="0" fillId="0" borderId="162" xfId="0" applyBorder="1" applyAlignment="1">
      <alignment horizontal="right" vertical="center"/>
    </xf>
    <xf numFmtId="0" fontId="0" fillId="0" borderId="160" xfId="0" applyFill="1" applyBorder="1" applyAlignment="1">
      <alignment horizontal="right" vertical="center"/>
    </xf>
    <xf numFmtId="0" fontId="64" fillId="0" borderId="158" xfId="0" applyFont="1" applyBorder="1" applyAlignment="1">
      <alignment vertical="center" wrapText="1"/>
    </xf>
    <xf numFmtId="0" fontId="64" fillId="0" borderId="161" xfId="0" applyFont="1" applyBorder="1" applyAlignment="1">
      <alignment vertical="center" wrapText="1"/>
    </xf>
    <xf numFmtId="0" fontId="0" fillId="0" borderId="154" xfId="0" applyBorder="1" applyAlignment="1">
      <alignment horizontal="right" vertical="center"/>
    </xf>
    <xf numFmtId="0" fontId="64" fillId="0" borderId="155" xfId="0" applyFont="1" applyBorder="1" applyAlignment="1">
      <alignment vertical="center"/>
    </xf>
    <xf numFmtId="173" fontId="0" fillId="0" borderId="0" xfId="81" applyNumberFormat="1" applyFont="1" applyBorder="1"/>
    <xf numFmtId="173" fontId="65" fillId="0" borderId="158" xfId="81" applyNumberFormat="1" applyFont="1" applyBorder="1"/>
    <xf numFmtId="173" fontId="65" fillId="0" borderId="161" xfId="81" applyNumberFormat="1" applyFont="1" applyBorder="1"/>
    <xf numFmtId="173" fontId="65" fillId="0" borderId="91" xfId="81" applyNumberFormat="1" applyFont="1" applyBorder="1"/>
    <xf numFmtId="173" fontId="65" fillId="0" borderId="155" xfId="81" applyNumberFormat="1" applyFont="1" applyBorder="1"/>
    <xf numFmtId="0" fontId="0" fillId="0" borderId="167" xfId="0" applyBorder="1"/>
    <xf numFmtId="173" fontId="7" fillId="0" borderId="159" xfId="81" applyNumberFormat="1" applyFont="1" applyBorder="1"/>
    <xf numFmtId="173" fontId="7" fillId="0" borderId="166" xfId="81" applyNumberFormat="1" applyFont="1" applyBorder="1"/>
    <xf numFmtId="173" fontId="7" fillId="0" borderId="163" xfId="81" applyNumberFormat="1" applyFont="1" applyBorder="1"/>
    <xf numFmtId="173" fontId="7" fillId="0" borderId="156" xfId="81" applyNumberFormat="1" applyFont="1" applyBorder="1"/>
    <xf numFmtId="0" fontId="0" fillId="0" borderId="157" xfId="0" applyFill="1" applyBorder="1" applyAlignment="1">
      <alignment horizontal="right" vertical="center"/>
    </xf>
    <xf numFmtId="0" fontId="64" fillId="0" borderId="158" xfId="0" applyFont="1" applyFill="1" applyBorder="1" applyAlignment="1">
      <alignment vertical="center"/>
    </xf>
    <xf numFmtId="173" fontId="7" fillId="0" borderId="159" xfId="81" applyNumberFormat="1" applyFont="1" applyFill="1" applyBorder="1"/>
    <xf numFmtId="0" fontId="64" fillId="0" borderId="0" xfId="0" applyFont="1" applyFill="1" applyAlignment="1">
      <alignment vertical="center"/>
    </xf>
    <xf numFmtId="173" fontId="65" fillId="0" borderId="158" xfId="81" applyNumberFormat="1" applyFont="1" applyFill="1" applyBorder="1"/>
    <xf numFmtId="0" fontId="200" fillId="0" borderId="0" xfId="46" applyFont="1"/>
    <xf numFmtId="9" fontId="147" fillId="0" borderId="135" xfId="46" applyNumberFormat="1" applyFont="1" applyFill="1" applyBorder="1" applyAlignment="1">
      <alignment horizontal="center" vertical="center" wrapText="1"/>
    </xf>
    <xf numFmtId="9" fontId="41" fillId="0" borderId="0" xfId="46" applyNumberFormat="1"/>
    <xf numFmtId="0" fontId="65" fillId="0" borderId="135" xfId="74" applyFont="1" applyFill="1" applyBorder="1" applyAlignment="1">
      <alignment horizontal="center" vertical="center" wrapText="1"/>
    </xf>
    <xf numFmtId="0" fontId="20" fillId="0" borderId="135" xfId="0" applyFont="1" applyBorder="1" applyAlignment="1">
      <alignment horizontal="center" vertical="center"/>
    </xf>
    <xf numFmtId="0" fontId="65" fillId="6" borderId="135" xfId="74" applyFont="1" applyFill="1" applyBorder="1" applyAlignment="1">
      <alignment horizontal="center" vertical="center" wrapText="1"/>
    </xf>
    <xf numFmtId="0" fontId="60" fillId="0" borderId="0" xfId="0" applyFont="1" applyAlignment="1">
      <alignment horizontal="left" indent="1"/>
    </xf>
    <xf numFmtId="9" fontId="41" fillId="0" borderId="0" xfId="14" applyFont="1"/>
    <xf numFmtId="9" fontId="147" fillId="0" borderId="41" xfId="46" applyNumberFormat="1" applyFont="1" applyFill="1" applyBorder="1" applyAlignment="1">
      <alignment horizontal="center" vertical="center" wrapText="1"/>
    </xf>
    <xf numFmtId="9" fontId="147" fillId="0" borderId="30" xfId="46" applyNumberFormat="1" applyFont="1" applyFill="1" applyBorder="1" applyAlignment="1">
      <alignment horizontal="center" vertical="center" wrapText="1"/>
    </xf>
    <xf numFmtId="9" fontId="147" fillId="0" borderId="141" xfId="46" applyNumberFormat="1" applyFont="1" applyFill="1" applyBorder="1" applyAlignment="1">
      <alignment horizontal="center" vertical="center" wrapText="1"/>
    </xf>
    <xf numFmtId="9" fontId="147" fillId="0" borderId="109" xfId="46" applyNumberFormat="1" applyFont="1" applyFill="1" applyBorder="1" applyAlignment="1">
      <alignment horizontal="center" vertical="center" wrapText="1"/>
    </xf>
    <xf numFmtId="0" fontId="147" fillId="0" borderId="133" xfId="46" applyFont="1" applyBorder="1" applyAlignment="1">
      <alignment horizontal="center" vertical="center" wrapText="1"/>
    </xf>
    <xf numFmtId="9" fontId="50" fillId="0" borderId="0" xfId="14" applyFont="1"/>
    <xf numFmtId="9" fontId="50" fillId="0" borderId="0" xfId="46" applyNumberFormat="1" applyFont="1"/>
    <xf numFmtId="0" fontId="146" fillId="0" borderId="135" xfId="46" applyFont="1" applyBorder="1" applyAlignment="1">
      <alignment horizontal="center" vertical="center"/>
    </xf>
    <xf numFmtId="9" fontId="147" fillId="0" borderId="14" xfId="46" applyNumberFormat="1" applyFont="1" applyFill="1" applyBorder="1" applyAlignment="1">
      <alignment horizontal="center" vertical="center" wrapText="1"/>
    </xf>
    <xf numFmtId="9" fontId="147" fillId="0" borderId="43" xfId="46" applyNumberFormat="1" applyFont="1" applyFill="1" applyBorder="1" applyAlignment="1">
      <alignment horizontal="center" vertical="center" wrapText="1"/>
    </xf>
    <xf numFmtId="0" fontId="147" fillId="0" borderId="141" xfId="46" applyFont="1" applyBorder="1" applyAlignment="1">
      <alignment vertical="center" wrapText="1"/>
    </xf>
    <xf numFmtId="0" fontId="201" fillId="0" borderId="0" xfId="46" applyFont="1" applyAlignment="1">
      <alignment horizontal="left" vertical="center" indent="1"/>
    </xf>
    <xf numFmtId="0" fontId="43" fillId="0" borderId="0" xfId="46" applyFont="1" applyBorder="1" applyAlignment="1">
      <alignment vertical="top"/>
    </xf>
    <xf numFmtId="0" fontId="16" fillId="0" borderId="109" xfId="72" applyFont="1" applyFill="1" applyBorder="1" applyAlignment="1" applyProtection="1">
      <alignment horizontal="center" vertical="center" wrapText="1"/>
      <protection hidden="1"/>
    </xf>
    <xf numFmtId="0" fontId="43" fillId="0" borderId="0" xfId="46" applyFont="1" applyBorder="1" applyAlignment="1"/>
    <xf numFmtId="41" fontId="80" fillId="6" borderId="109" xfId="69" applyNumberFormat="1" applyFont="1" applyFill="1" applyBorder="1" applyAlignment="1">
      <alignment vertical="center" wrapText="1"/>
    </xf>
    <xf numFmtId="0" fontId="11" fillId="0" borderId="135" xfId="0" applyFont="1" applyBorder="1"/>
    <xf numFmtId="0" fontId="15" fillId="0" borderId="135" xfId="46" applyFont="1" applyBorder="1"/>
    <xf numFmtId="0" fontId="11" fillId="7" borderId="0" xfId="0" applyFont="1" applyFill="1" applyBorder="1"/>
    <xf numFmtId="0" fontId="11" fillId="0" borderId="168" xfId="0" applyFont="1" applyFill="1" applyBorder="1"/>
    <xf numFmtId="0" fontId="14" fillId="8" borderId="0" xfId="0" applyFont="1" applyFill="1" applyBorder="1" applyAlignment="1">
      <alignment horizontal="center" vertical="center" wrapText="1"/>
    </xf>
    <xf numFmtId="0" fontId="14" fillId="8" borderId="133" xfId="0" applyFont="1" applyFill="1" applyBorder="1" applyAlignment="1">
      <alignment horizontal="center" vertical="center" wrapText="1"/>
    </xf>
    <xf numFmtId="0" fontId="12" fillId="6" borderId="133" xfId="0" applyFont="1" applyFill="1" applyBorder="1" applyAlignment="1">
      <alignment horizontal="center" vertical="center" wrapText="1"/>
    </xf>
    <xf numFmtId="0" fontId="12" fillId="8" borderId="136" xfId="0" applyFont="1" applyFill="1" applyBorder="1" applyAlignment="1">
      <alignment horizontal="center" vertical="center" wrapText="1"/>
    </xf>
    <xf numFmtId="0" fontId="16" fillId="8" borderId="135" xfId="0" applyFont="1" applyFill="1" applyBorder="1" applyAlignment="1">
      <alignment horizontal="center" vertical="center" wrapText="1"/>
    </xf>
    <xf numFmtId="9" fontId="37" fillId="6" borderId="146" xfId="68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17" fillId="7" borderId="2" xfId="0" applyFont="1" applyFill="1" applyBorder="1" applyAlignment="1">
      <alignment vertical="center"/>
    </xf>
    <xf numFmtId="0" fontId="11" fillId="8" borderId="135" xfId="0" applyFont="1" applyFill="1" applyBorder="1" applyAlignment="1">
      <alignment horizontal="center" vertical="center" wrapText="1"/>
    </xf>
    <xf numFmtId="41" fontId="59" fillId="0" borderId="109" xfId="0" applyNumberFormat="1" applyFont="1" applyFill="1" applyBorder="1" applyAlignment="1">
      <alignment horizontal="center" vertical="center"/>
    </xf>
    <xf numFmtId="41" fontId="59" fillId="6" borderId="169" xfId="0" applyNumberFormat="1" applyFont="1" applyFill="1" applyBorder="1" applyAlignment="1">
      <alignment horizontal="center" vertical="center"/>
    </xf>
    <xf numFmtId="0" fontId="0" fillId="3" borderId="0" xfId="0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49" fontId="7" fillId="3" borderId="0" xfId="0" applyNumberFormat="1" applyFont="1" applyFill="1" applyAlignment="1">
      <alignment horizontal="center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49" fontId="7" fillId="3" borderId="0" xfId="0" applyNumberFormat="1" applyFont="1" applyFill="1" applyAlignment="1">
      <alignment horizontal="left"/>
    </xf>
    <xf numFmtId="49" fontId="7" fillId="3" borderId="0" xfId="0" applyNumberFormat="1" applyFont="1" applyFill="1" applyBorder="1" applyAlignment="1">
      <alignment horizontal="center"/>
    </xf>
    <xf numFmtId="0" fontId="16" fillId="3" borderId="0" xfId="6" applyFont="1" applyFill="1" applyBorder="1"/>
    <xf numFmtId="0" fontId="11" fillId="3" borderId="0" xfId="0" applyFont="1" applyFill="1" applyBorder="1"/>
    <xf numFmtId="0" fontId="0" fillId="3" borderId="0" xfId="0" applyFill="1" applyAlignment="1">
      <alignment horizontal="left"/>
    </xf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171" fontId="65" fillId="3" borderId="0" xfId="7" applyNumberFormat="1" applyFont="1" applyFill="1" applyBorder="1" applyAlignment="1">
      <alignment horizontal="center" vertical="center" wrapText="1"/>
    </xf>
    <xf numFmtId="0" fontId="65" fillId="3" borderId="0" xfId="0" applyFont="1" applyFill="1"/>
    <xf numFmtId="0" fontId="65" fillId="3" borderId="0" xfId="0" applyFont="1" applyFill="1" applyBorder="1" applyAlignment="1">
      <alignment horizontal="center" vertical="center" wrapText="1"/>
    </xf>
    <xf numFmtId="0" fontId="43" fillId="0" borderId="136" xfId="46" applyFont="1" applyBorder="1" applyAlignment="1">
      <alignment horizontal="center" vertical="center"/>
    </xf>
    <xf numFmtId="41" fontId="76" fillId="3" borderId="135" xfId="0" applyNumberFormat="1" applyFont="1" applyFill="1" applyBorder="1" applyAlignment="1">
      <alignment horizontal="center" vertical="center"/>
    </xf>
    <xf numFmtId="9" fontId="11" fillId="0" borderId="109" xfId="46" applyNumberFormat="1" applyFont="1" applyBorder="1" applyAlignment="1">
      <alignment horizontal="center" vertical="center"/>
    </xf>
    <xf numFmtId="0" fontId="11" fillId="0" borderId="121" xfId="46" applyFont="1" applyBorder="1" applyAlignment="1">
      <alignment horizontal="left" vertical="center" indent="1"/>
    </xf>
    <xf numFmtId="0" fontId="43" fillId="0" borderId="136" xfId="46" applyFont="1" applyBorder="1" applyAlignment="1">
      <alignment horizontal="center" vertical="center" wrapText="1"/>
    </xf>
    <xf numFmtId="9" fontId="11" fillId="6" borderId="41" xfId="46" applyNumberFormat="1" applyFont="1" applyFill="1" applyBorder="1" applyAlignment="1">
      <alignment horizontal="center" vertical="center"/>
    </xf>
    <xf numFmtId="0" fontId="11" fillId="6" borderId="30" xfId="46" applyFont="1" applyFill="1" applyBorder="1" applyAlignment="1">
      <alignment horizontal="left" vertical="center" indent="1"/>
    </xf>
    <xf numFmtId="0" fontId="41" fillId="3" borderId="0" xfId="46" applyFill="1"/>
    <xf numFmtId="0" fontId="1" fillId="3" borderId="0" xfId="74" applyFont="1" applyFill="1" applyAlignment="1">
      <alignment horizontal="left" vertical="center" indent="1"/>
    </xf>
    <xf numFmtId="0" fontId="7" fillId="8" borderId="135" xfId="0" applyFont="1" applyFill="1" applyBorder="1" applyAlignment="1">
      <alignment horizontal="center" vertical="center" wrapText="1"/>
    </xf>
    <xf numFmtId="0" fontId="30" fillId="8" borderId="72" xfId="0" applyFont="1" applyFill="1" applyBorder="1" applyAlignment="1">
      <alignment horizontal="center" vertical="center" wrapText="1"/>
    </xf>
    <xf numFmtId="0" fontId="14" fillId="8" borderId="11" xfId="0" applyFont="1" applyFill="1" applyBorder="1" applyAlignment="1">
      <alignment horizontal="center" vertical="center" wrapText="1"/>
    </xf>
    <xf numFmtId="0" fontId="33" fillId="0" borderId="135" xfId="60" applyFont="1" applyBorder="1" applyAlignment="1">
      <alignment horizontal="left"/>
    </xf>
    <xf numFmtId="0" fontId="199" fillId="0" borderId="135" xfId="284" applyFont="1" applyBorder="1" applyAlignment="1" applyProtection="1">
      <alignment vertical="center"/>
    </xf>
    <xf numFmtId="41" fontId="59" fillId="6" borderId="71" xfId="69" applyNumberFormat="1" applyFont="1" applyFill="1" applyBorder="1" applyAlignment="1">
      <alignment horizontal="center" vertical="center" wrapText="1"/>
    </xf>
    <xf numFmtId="41" fontId="59" fillId="0" borderId="71" xfId="69" applyNumberFormat="1" applyFont="1" applyFill="1" applyBorder="1" applyAlignment="1">
      <alignment horizontal="center" vertical="center" wrapText="1"/>
    </xf>
    <xf numFmtId="41" fontId="59" fillId="0" borderId="59" xfId="69" applyNumberFormat="1" applyFont="1" applyFill="1" applyBorder="1" applyAlignment="1">
      <alignment horizontal="center" vertical="center" wrapText="1"/>
    </xf>
    <xf numFmtId="41" fontId="59" fillId="6" borderId="59" xfId="69" applyNumberFormat="1" applyFont="1" applyFill="1" applyBorder="1" applyAlignment="1">
      <alignment horizontal="center" vertical="center" wrapText="1"/>
    </xf>
    <xf numFmtId="0" fontId="7" fillId="0" borderId="135" xfId="60" applyFont="1" applyFill="1" applyBorder="1" applyAlignment="1">
      <alignment horizontal="left"/>
    </xf>
    <xf numFmtId="0" fontId="199" fillId="0" borderId="135" xfId="284" applyFont="1" applyBorder="1" applyAlignment="1" applyProtection="1">
      <alignment horizontal="left" vertical="center"/>
    </xf>
    <xf numFmtId="0" fontId="12" fillId="0" borderId="0" xfId="6" applyFont="1" applyFill="1" applyBorder="1" applyAlignment="1">
      <alignment horizontal="left" vertical="center"/>
    </xf>
    <xf numFmtId="41" fontId="65" fillId="0" borderId="25" xfId="0" applyNumberFormat="1" applyFont="1" applyFill="1" applyBorder="1" applyAlignment="1">
      <alignment horizontal="center" vertical="center" wrapText="1"/>
    </xf>
    <xf numFmtId="41" fontId="59" fillId="0" borderId="135" xfId="0" applyNumberFormat="1" applyFont="1" applyFill="1" applyBorder="1" applyAlignment="1">
      <alignment horizontal="center" vertical="center" wrapText="1"/>
    </xf>
    <xf numFmtId="0" fontId="0" fillId="0" borderId="175" xfId="0" applyBorder="1" applyAlignment="1">
      <alignment horizontal="center"/>
    </xf>
    <xf numFmtId="0" fontId="0" fillId="0" borderId="169" xfId="0" applyBorder="1" applyAlignment="1">
      <alignment horizontal="center"/>
    </xf>
    <xf numFmtId="0" fontId="0" fillId="0" borderId="169" xfId="0" applyFont="1" applyBorder="1"/>
    <xf numFmtId="0" fontId="7" fillId="0" borderId="0" xfId="0" applyFont="1" applyBorder="1"/>
    <xf numFmtId="41" fontId="182" fillId="0" borderId="0" xfId="0" applyNumberFormat="1" applyFont="1" applyFill="1" applyBorder="1" applyAlignment="1">
      <alignment horizontal="center" vertical="center" wrapText="1"/>
    </xf>
    <xf numFmtId="0" fontId="14" fillId="0" borderId="13" xfId="72" applyFont="1" applyFill="1" applyBorder="1" applyAlignment="1" applyProtection="1">
      <alignment vertical="center" wrapText="1"/>
      <protection hidden="1"/>
    </xf>
    <xf numFmtId="0" fontId="18" fillId="0" borderId="135" xfId="72" applyFont="1" applyFill="1" applyBorder="1" applyAlignment="1" applyProtection="1">
      <alignment vertical="center" wrapText="1"/>
      <protection hidden="1"/>
    </xf>
    <xf numFmtId="9" fontId="0" fillId="0" borderId="155" xfId="0" applyNumberFormat="1" applyBorder="1"/>
    <xf numFmtId="0" fontId="14" fillId="0" borderId="19" xfId="72" applyFont="1" applyFill="1" applyBorder="1" applyAlignment="1" applyProtection="1">
      <alignment vertical="center" wrapText="1"/>
      <protection hidden="1"/>
    </xf>
    <xf numFmtId="0" fontId="14" fillId="0" borderId="0" xfId="72" applyFont="1" applyFill="1" applyBorder="1" applyAlignment="1" applyProtection="1">
      <alignment vertical="center" wrapText="1"/>
      <protection hidden="1"/>
    </xf>
    <xf numFmtId="3" fontId="23" fillId="0" borderId="2" xfId="46" applyNumberFormat="1" applyFont="1" applyBorder="1" applyAlignment="1">
      <alignment horizontal="left" vertical="center" wrapText="1" indent="1"/>
    </xf>
    <xf numFmtId="3" fontId="16" fillId="0" borderId="135" xfId="69" applyNumberFormat="1" applyFont="1" applyFill="1" applyBorder="1" applyAlignment="1" applyProtection="1">
      <alignment vertical="center" wrapText="1"/>
      <protection hidden="1"/>
    </xf>
    <xf numFmtId="0" fontId="47" fillId="3" borderId="0" xfId="46" applyFont="1" applyFill="1" applyAlignment="1">
      <alignment horizontal="left" wrapText="1"/>
    </xf>
    <xf numFmtId="0" fontId="53" fillId="3" borderId="0" xfId="1" applyFont="1" applyFill="1" applyAlignment="1" applyProtection="1">
      <protection hidden="1"/>
    </xf>
    <xf numFmtId="0" fontId="1" fillId="3" borderId="0" xfId="71" applyFill="1"/>
    <xf numFmtId="0" fontId="5" fillId="3" borderId="0" xfId="71" applyFont="1" applyFill="1" applyAlignment="1" applyProtection="1">
      <alignment vertical="center"/>
      <protection hidden="1"/>
    </xf>
    <xf numFmtId="0" fontId="5" fillId="3" borderId="0" xfId="71" applyFont="1" applyFill="1" applyAlignment="1" applyProtection="1">
      <alignment vertical="center" wrapText="1"/>
      <protection hidden="1"/>
    </xf>
    <xf numFmtId="0" fontId="1" fillId="3" borderId="0" xfId="71" applyFont="1" applyFill="1"/>
    <xf numFmtId="3" fontId="15" fillId="3" borderId="0" xfId="71" applyNumberFormat="1" applyFont="1" applyFill="1" applyBorder="1" applyAlignment="1">
      <alignment horizontal="center" vertical="center"/>
    </xf>
    <xf numFmtId="0" fontId="7" fillId="3" borderId="0" xfId="71" applyFont="1" applyFill="1"/>
    <xf numFmtId="41" fontId="65" fillId="6" borderId="5" xfId="71" applyNumberFormat="1" applyFont="1" applyFill="1" applyBorder="1" applyAlignment="1">
      <alignment horizontal="center" vertical="center"/>
    </xf>
    <xf numFmtId="41" fontId="65" fillId="0" borderId="5" xfId="71" applyNumberFormat="1" applyFont="1" applyFill="1" applyBorder="1" applyAlignment="1">
      <alignment horizontal="center" vertical="center"/>
    </xf>
    <xf numFmtId="0" fontId="14" fillId="0" borderId="137" xfId="13" applyFont="1" applyFill="1" applyBorder="1" applyAlignment="1">
      <alignment horizontal="left" vertical="center"/>
    </xf>
    <xf numFmtId="9" fontId="0" fillId="0" borderId="0" xfId="0" applyNumberFormat="1" applyBorder="1"/>
    <xf numFmtId="0" fontId="14" fillId="0" borderId="15" xfId="13" applyFont="1" applyFill="1" applyBorder="1" applyAlignment="1">
      <alignment horizontal="left" vertical="center"/>
    </xf>
    <xf numFmtId="9" fontId="43" fillId="0" borderId="2" xfId="46" applyNumberFormat="1" applyFont="1" applyFill="1" applyBorder="1"/>
    <xf numFmtId="0" fontId="66" fillId="0" borderId="2" xfId="13" applyFont="1" applyFill="1" applyBorder="1" applyAlignment="1">
      <alignment horizontal="left" vertical="center"/>
    </xf>
    <xf numFmtId="0" fontId="66" fillId="0" borderId="13" xfId="13" applyFont="1" applyFill="1" applyBorder="1" applyAlignment="1">
      <alignment horizontal="left" vertical="center"/>
    </xf>
    <xf numFmtId="9" fontId="0" fillId="0" borderId="135" xfId="0" applyNumberFormat="1" applyBorder="1"/>
    <xf numFmtId="0" fontId="33" fillId="0" borderId="0" xfId="0" applyFont="1" applyBorder="1" applyAlignment="1">
      <alignment horizontal="center"/>
    </xf>
    <xf numFmtId="0" fontId="33" fillId="0" borderId="0" xfId="0" applyFont="1" applyBorder="1" applyAlignment="1">
      <alignment horizontal="right" wrapText="1"/>
    </xf>
    <xf numFmtId="0" fontId="169" fillId="0" borderId="69" xfId="0" applyFont="1" applyBorder="1"/>
    <xf numFmtId="0" fontId="65" fillId="0" borderId="70" xfId="0" applyFont="1" applyBorder="1"/>
    <xf numFmtId="0" fontId="62" fillId="0" borderId="135" xfId="60" applyBorder="1" applyAlignment="1">
      <alignment horizontal="left"/>
    </xf>
    <xf numFmtId="9" fontId="37" fillId="6" borderId="14" xfId="68" applyFont="1" applyFill="1" applyBorder="1" applyAlignment="1">
      <alignment horizontal="center" vertical="center"/>
    </xf>
    <xf numFmtId="41" fontId="182" fillId="0" borderId="0" xfId="0" applyNumberFormat="1" applyFont="1" applyFill="1" applyBorder="1" applyAlignment="1">
      <alignment horizontal="center" vertical="center"/>
    </xf>
    <xf numFmtId="0" fontId="135" fillId="0" borderId="135" xfId="60" applyFont="1" applyBorder="1" applyAlignment="1">
      <alignment horizontal="left" vertical="center" wrapText="1"/>
    </xf>
    <xf numFmtId="0" fontId="33" fillId="0" borderId="135" xfId="0" applyFont="1" applyBorder="1" applyAlignment="1">
      <alignment horizontal="center"/>
    </xf>
    <xf numFmtId="9" fontId="43" fillId="0" borderId="135" xfId="46" applyNumberFormat="1" applyFont="1" applyFill="1" applyBorder="1"/>
    <xf numFmtId="9" fontId="11" fillId="0" borderId="135" xfId="13" applyNumberFormat="1" applyFont="1" applyFill="1" applyBorder="1" applyAlignment="1">
      <alignment vertical="center"/>
    </xf>
    <xf numFmtId="178" fontId="11" fillId="0" borderId="135" xfId="13" applyNumberFormat="1" applyFont="1" applyFill="1" applyBorder="1" applyAlignment="1">
      <alignment vertical="center"/>
    </xf>
    <xf numFmtId="43" fontId="15" fillId="0" borderId="134" xfId="7" applyFont="1" applyFill="1" applyBorder="1" applyAlignment="1" applyProtection="1">
      <alignment vertical="center"/>
      <protection hidden="1"/>
    </xf>
    <xf numFmtId="3" fontId="15" fillId="0" borderId="134" xfId="69" applyNumberFormat="1" applyFont="1" applyFill="1" applyBorder="1" applyAlignment="1" applyProtection="1">
      <alignment vertical="center"/>
      <protection hidden="1"/>
    </xf>
    <xf numFmtId="3" fontId="15" fillId="0" borderId="178" xfId="69" applyNumberFormat="1" applyFont="1" applyFill="1" applyBorder="1" applyAlignment="1" applyProtection="1">
      <alignment vertical="center" wrapText="1"/>
      <protection hidden="1"/>
    </xf>
    <xf numFmtId="3" fontId="16" fillId="0" borderId="178" xfId="69" applyNumberFormat="1" applyFont="1" applyFill="1" applyBorder="1" applyAlignment="1" applyProtection="1">
      <alignment vertical="center"/>
      <protection hidden="1"/>
    </xf>
    <xf numFmtId="43" fontId="15" fillId="0" borderId="178" xfId="7" applyFont="1" applyFill="1" applyBorder="1" applyAlignment="1" applyProtection="1">
      <alignment vertical="center"/>
      <protection hidden="1"/>
    </xf>
    <xf numFmtId="3" fontId="15" fillId="0" borderId="178" xfId="69" applyNumberFormat="1" applyFont="1" applyFill="1" applyBorder="1" applyAlignment="1" applyProtection="1">
      <alignment vertical="center"/>
      <protection hidden="1"/>
    </xf>
    <xf numFmtId="3" fontId="15" fillId="0" borderId="178" xfId="46" applyNumberFormat="1" applyFont="1" applyBorder="1"/>
    <xf numFmtId="0" fontId="151" fillId="0" borderId="15" xfId="69" applyFont="1" applyFill="1" applyBorder="1" applyAlignment="1" applyProtection="1">
      <alignment horizontal="center" wrapText="1"/>
      <protection hidden="1"/>
    </xf>
    <xf numFmtId="0" fontId="62" fillId="0" borderId="134" xfId="60" applyBorder="1" applyAlignment="1">
      <alignment wrapText="1"/>
    </xf>
    <xf numFmtId="0" fontId="62" fillId="0" borderId="133" xfId="60" applyBorder="1" applyAlignment="1">
      <alignment vertical="center" wrapText="1"/>
    </xf>
    <xf numFmtId="0" fontId="135" fillId="0" borderId="135" xfId="60" applyFont="1" applyBorder="1" applyAlignment="1">
      <alignment vertical="center"/>
    </xf>
    <xf numFmtId="0" fontId="124" fillId="0" borderId="135" xfId="284" applyBorder="1" applyAlignment="1" applyProtection="1"/>
    <xf numFmtId="0" fontId="30" fillId="0" borderId="0" xfId="46" applyFont="1" applyAlignment="1">
      <alignment wrapText="1"/>
    </xf>
    <xf numFmtId="0" fontId="18" fillId="0" borderId="0" xfId="46" applyFont="1"/>
    <xf numFmtId="41" fontId="0" fillId="0" borderId="0" xfId="0" applyNumberFormat="1" applyFont="1" applyBorder="1"/>
    <xf numFmtId="171" fontId="1" fillId="0" borderId="0" xfId="7" applyNumberFormat="1" applyFont="1" applyFill="1" applyBorder="1" applyAlignment="1">
      <alignment horizontal="left"/>
    </xf>
    <xf numFmtId="171" fontId="16" fillId="0" borderId="0" xfId="7" applyNumberFormat="1" applyFont="1" applyFill="1" applyBorder="1" applyAlignment="1">
      <alignment horizontal="left" vertical="center" wrapText="1" indent="1"/>
    </xf>
    <xf numFmtId="0" fontId="205" fillId="0" borderId="2" xfId="46" applyFont="1" applyBorder="1" applyAlignment="1">
      <alignment horizontal="left" vertical="center" indent="1"/>
    </xf>
    <xf numFmtId="0" fontId="203" fillId="0" borderId="0" xfId="0" applyFont="1" applyFill="1"/>
    <xf numFmtId="0" fontId="7" fillId="0" borderId="135" xfId="0" applyFont="1" applyFill="1" applyBorder="1"/>
    <xf numFmtId="3" fontId="205" fillId="0" borderId="2" xfId="46" applyNumberFormat="1" applyFont="1" applyBorder="1" applyAlignment="1">
      <alignment horizontal="left" vertical="center" indent="1"/>
    </xf>
    <xf numFmtId="3" fontId="205" fillId="0" borderId="2" xfId="46" applyNumberFormat="1" applyFont="1" applyBorder="1" applyAlignment="1">
      <alignment horizontal="left" vertical="center" wrapText="1" indent="1"/>
    </xf>
    <xf numFmtId="3" fontId="204" fillId="0" borderId="0" xfId="46" applyNumberFormat="1" applyFont="1"/>
    <xf numFmtId="43" fontId="38" fillId="65" borderId="11" xfId="7" applyFont="1" applyFill="1" applyBorder="1" applyAlignment="1" applyProtection="1">
      <alignment horizontal="center" vertical="center" wrapText="1"/>
      <protection hidden="1"/>
    </xf>
    <xf numFmtId="0" fontId="14" fillId="0" borderId="71" xfId="46" applyFont="1" applyFill="1" applyBorder="1" applyAlignment="1">
      <alignment horizontal="center" vertical="center" textRotation="90" wrapText="1"/>
    </xf>
    <xf numFmtId="0" fontId="28" fillId="0" borderId="109" xfId="69" applyFont="1" applyFill="1" applyBorder="1" applyAlignment="1" applyProtection="1">
      <alignment horizontal="center"/>
      <protection hidden="1"/>
    </xf>
    <xf numFmtId="0" fontId="0" fillId="0" borderId="0" xfId="0" applyFont="1"/>
    <xf numFmtId="0" fontId="16" fillId="0" borderId="0" xfId="0" applyFont="1" applyFill="1" applyBorder="1" applyAlignment="1">
      <alignment horizontal="center" vertical="center" wrapText="1"/>
    </xf>
    <xf numFmtId="0" fontId="7" fillId="8" borderId="11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 indent="1"/>
    </xf>
    <xf numFmtId="3" fontId="15" fillId="0" borderId="0" xfId="46" applyNumberFormat="1" applyFont="1" applyBorder="1" applyAlignment="1">
      <alignment vertical="center"/>
    </xf>
    <xf numFmtId="0" fontId="18" fillId="0" borderId="135" xfId="69" applyFont="1" applyFill="1" applyBorder="1" applyAlignment="1" applyProtection="1">
      <alignment horizontal="center" vertical="center" wrapText="1"/>
      <protection hidden="1"/>
    </xf>
    <xf numFmtId="0" fontId="16" fillId="0" borderId="135" xfId="69" applyFont="1" applyFill="1" applyBorder="1" applyAlignment="1" applyProtection="1">
      <alignment horizontal="center" vertical="center" wrapText="1"/>
      <protection hidden="1"/>
    </xf>
    <xf numFmtId="0" fontId="28" fillId="0" borderId="15" xfId="69" applyFont="1" applyFill="1" applyBorder="1" applyAlignment="1" applyProtection="1">
      <alignment horizontal="center"/>
      <protection hidden="1"/>
    </xf>
    <xf numFmtId="0" fontId="28" fillId="0" borderId="135" xfId="69" applyFont="1" applyFill="1" applyBorder="1" applyAlignment="1" applyProtection="1">
      <alignment horizontal="center"/>
      <protection hidden="1"/>
    </xf>
    <xf numFmtId="3" fontId="15" fillId="67" borderId="0" xfId="46" applyNumberFormat="1" applyFont="1" applyFill="1"/>
    <xf numFmtId="3" fontId="38" fillId="67" borderId="5" xfId="69" applyNumberFormat="1" applyFont="1" applyFill="1" applyBorder="1" applyAlignment="1">
      <alignment horizontal="center" vertical="center" wrapText="1"/>
    </xf>
    <xf numFmtId="3" fontId="59" fillId="0" borderId="135" xfId="69" applyNumberFormat="1" applyFont="1" applyFill="1" applyBorder="1" applyAlignment="1">
      <alignment vertical="center" wrapText="1"/>
    </xf>
    <xf numFmtId="3" fontId="38" fillId="0" borderId="59" xfId="46" applyNumberFormat="1" applyFont="1" applyFill="1" applyBorder="1" applyAlignment="1">
      <alignment horizontal="left" vertical="center" wrapText="1" indent="1"/>
    </xf>
    <xf numFmtId="3" fontId="37" fillId="6" borderId="12" xfId="118" applyNumberFormat="1" applyFont="1" applyFill="1" applyBorder="1" applyAlignment="1">
      <alignment horizontal="center" vertical="center" wrapText="1"/>
    </xf>
    <xf numFmtId="3" fontId="37" fillId="61" borderId="59" xfId="69" applyNumberFormat="1" applyFont="1" applyFill="1" applyBorder="1" applyAlignment="1" applyProtection="1">
      <alignment vertical="center"/>
      <protection hidden="1"/>
    </xf>
    <xf numFmtId="9" fontId="14" fillId="67" borderId="0" xfId="14" applyFont="1" applyFill="1" applyBorder="1" applyAlignment="1">
      <alignment vertical="top"/>
    </xf>
    <xf numFmtId="41" fontId="14" fillId="67" borderId="0" xfId="0" applyNumberFormat="1" applyFont="1" applyFill="1" applyBorder="1" applyAlignment="1">
      <alignment vertical="top"/>
    </xf>
    <xf numFmtId="0" fontId="0" fillId="67" borderId="0" xfId="0" applyFill="1" applyBorder="1"/>
    <xf numFmtId="43" fontId="14" fillId="67" borderId="0" xfId="7" applyFont="1" applyFill="1" applyBorder="1" applyAlignment="1">
      <alignment vertical="top"/>
    </xf>
    <xf numFmtId="41" fontId="11" fillId="67" borderId="0" xfId="0" applyNumberFormat="1" applyFont="1" applyFill="1" applyBorder="1" applyAlignment="1">
      <alignment vertical="top"/>
    </xf>
    <xf numFmtId="3" fontId="37" fillId="62" borderId="59" xfId="69" applyNumberFormat="1" applyFont="1" applyFill="1" applyBorder="1" applyAlignment="1" applyProtection="1">
      <alignment vertical="center"/>
      <protection hidden="1"/>
    </xf>
    <xf numFmtId="2" fontId="15" fillId="0" borderId="0" xfId="69" applyNumberFormat="1" applyFont="1" applyFill="1" applyAlignment="1" applyProtection="1">
      <alignment vertical="center"/>
      <protection hidden="1"/>
    </xf>
    <xf numFmtId="9" fontId="1" fillId="0" borderId="0" xfId="14" applyFont="1" applyAlignment="1">
      <alignment vertical="center"/>
    </xf>
    <xf numFmtId="0" fontId="14" fillId="0" borderId="133" xfId="72" applyFont="1" applyFill="1" applyBorder="1" applyAlignment="1" applyProtection="1">
      <alignment vertical="center" wrapText="1"/>
      <protection hidden="1"/>
    </xf>
    <xf numFmtId="41" fontId="59" fillId="0" borderId="133" xfId="69" applyNumberFormat="1" applyFont="1" applyFill="1" applyBorder="1" applyAlignment="1">
      <alignment horizontal="center" vertical="center" wrapText="1"/>
    </xf>
    <xf numFmtId="41" fontId="65" fillId="0" borderId="0" xfId="75" applyNumberFormat="1" applyFont="1" applyFill="1" applyBorder="1" applyAlignment="1">
      <alignment horizontal="center" vertical="center" wrapText="1"/>
    </xf>
    <xf numFmtId="3" fontId="31" fillId="0" borderId="59" xfId="46" applyNumberFormat="1" applyFont="1" applyFill="1" applyBorder="1" applyAlignment="1">
      <alignment horizontal="left" vertical="center" wrapText="1" indent="1"/>
    </xf>
    <xf numFmtId="168" fontId="68" fillId="6" borderId="79" xfId="0" applyNumberFormat="1" applyFont="1" applyFill="1" applyBorder="1" applyAlignment="1">
      <alignment vertical="center" wrapText="1"/>
    </xf>
    <xf numFmtId="168" fontId="68" fillId="0" borderId="79" xfId="0" applyNumberFormat="1" applyFont="1" applyFill="1" applyBorder="1" applyAlignment="1">
      <alignment vertical="center" wrapText="1"/>
    </xf>
    <xf numFmtId="0" fontId="7" fillId="8" borderId="116" xfId="0" applyFont="1" applyFill="1" applyBorder="1" applyAlignment="1">
      <alignment vertical="center" wrapText="1"/>
    </xf>
    <xf numFmtId="0" fontId="7" fillId="8" borderId="117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top" wrapText="1" indent="1"/>
    </xf>
    <xf numFmtId="41" fontId="75" fillId="0" borderId="0" xfId="0" applyNumberFormat="1" applyFont="1" applyFill="1" applyBorder="1" applyAlignment="1">
      <alignment horizontal="center" vertical="center" wrapText="1"/>
    </xf>
    <xf numFmtId="0" fontId="43" fillId="9" borderId="17" xfId="46" applyFont="1" applyFill="1" applyBorder="1" applyAlignment="1">
      <alignment horizontal="center" vertical="center"/>
    </xf>
    <xf numFmtId="0" fontId="43" fillId="9" borderId="16" xfId="46" applyFont="1" applyFill="1" applyBorder="1" applyAlignment="1">
      <alignment horizontal="center" vertical="center"/>
    </xf>
    <xf numFmtId="0" fontId="7" fillId="8" borderId="71" xfId="0" applyFont="1" applyFill="1" applyBorder="1" applyAlignment="1">
      <alignment horizontal="center" vertical="center" wrapText="1"/>
    </xf>
    <xf numFmtId="0" fontId="210" fillId="0" borderId="0" xfId="3" applyFont="1" applyBorder="1" applyAlignment="1">
      <alignment vertical="center" wrapText="1"/>
    </xf>
    <xf numFmtId="0" fontId="69" fillId="0" borderId="0" xfId="3" applyFont="1" applyBorder="1" applyAlignment="1">
      <alignment vertical="center" wrapText="1"/>
    </xf>
    <xf numFmtId="0" fontId="69" fillId="0" borderId="0" xfId="0" applyFont="1" applyBorder="1" applyAlignment="1">
      <alignment vertical="center" wrapText="1"/>
    </xf>
    <xf numFmtId="0" fontId="69" fillId="0" borderId="0" xfId="0" applyFont="1" applyBorder="1" applyAlignment="1">
      <alignment horizontal="right" vertical="center"/>
    </xf>
    <xf numFmtId="0" fontId="71" fillId="0" borderId="0" xfId="0" applyFont="1" applyBorder="1" applyAlignment="1">
      <alignment horizontal="center" vertical="center" wrapText="1"/>
    </xf>
    <xf numFmtId="9" fontId="0" fillId="0" borderId="0" xfId="0" applyNumberFormat="1" applyBorder="1" applyAlignment="1">
      <alignment vertical="center" wrapText="1"/>
    </xf>
    <xf numFmtId="0" fontId="69" fillId="0" borderId="0" xfId="0" applyFont="1" applyBorder="1" applyAlignment="1">
      <alignment horizontal="right"/>
    </xf>
    <xf numFmtId="0" fontId="209" fillId="0" borderId="0" xfId="3" applyFont="1" applyBorder="1" applyAlignment="1">
      <alignment vertical="center" wrapText="1"/>
    </xf>
    <xf numFmtId="0" fontId="71" fillId="0" borderId="0" xfId="0" applyFont="1" applyBorder="1" applyAlignment="1">
      <alignment horizontal="center" vertical="center"/>
    </xf>
    <xf numFmtId="0" fontId="135" fillId="0" borderId="71" xfId="60" applyFont="1" applyBorder="1" applyAlignment="1">
      <alignment horizontal="left" vertical="center"/>
    </xf>
    <xf numFmtId="0" fontId="62" fillId="0" borderId="71" xfId="60" applyBorder="1" applyAlignment="1">
      <alignment horizontal="left"/>
    </xf>
    <xf numFmtId="0" fontId="62" fillId="0" borderId="71" xfId="60" applyBorder="1"/>
    <xf numFmtId="0" fontId="124" fillId="0" borderId="71" xfId="284" applyBorder="1" applyAlignment="1" applyProtection="1"/>
    <xf numFmtId="9" fontId="43" fillId="0" borderId="71" xfId="46" applyNumberFormat="1" applyFont="1" applyFill="1" applyBorder="1" applyAlignment="1">
      <alignment horizontal="right"/>
    </xf>
    <xf numFmtId="0" fontId="17" fillId="0" borderId="0" xfId="46" applyFont="1" applyFill="1" applyBorder="1" applyAlignment="1">
      <alignment horizontal="center" vertical="center" wrapText="1"/>
    </xf>
    <xf numFmtId="41" fontId="80" fillId="3" borderId="0" xfId="69" applyNumberFormat="1" applyFont="1" applyFill="1" applyBorder="1" applyAlignment="1">
      <alignment vertical="center" wrapText="1"/>
    </xf>
    <xf numFmtId="0" fontId="15" fillId="0" borderId="71" xfId="46" applyFont="1" applyBorder="1"/>
    <xf numFmtId="0" fontId="17" fillId="0" borderId="71" xfId="46" applyFont="1" applyFill="1" applyBorder="1" applyAlignment="1">
      <alignment horizontal="center" vertical="center" wrapText="1"/>
    </xf>
    <xf numFmtId="41" fontId="80" fillId="6" borderId="109" xfId="69" applyNumberFormat="1" applyFont="1" applyFill="1" applyBorder="1" applyAlignment="1">
      <alignment horizontal="center" vertical="center" wrapText="1"/>
    </xf>
    <xf numFmtId="3" fontId="18" fillId="4" borderId="59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59" xfId="69" applyNumberFormat="1" applyFont="1" applyFill="1" applyBorder="1" applyAlignment="1" applyProtection="1">
      <alignment vertical="center" wrapText="1"/>
      <protection hidden="1"/>
    </xf>
    <xf numFmtId="3" fontId="18" fillId="4" borderId="60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59" xfId="69" applyNumberFormat="1" applyFont="1" applyFill="1" applyBorder="1" applyAlignment="1" applyProtection="1">
      <alignment horizontal="center" vertical="center"/>
      <protection hidden="1"/>
    </xf>
    <xf numFmtId="3" fontId="18" fillId="4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9" xfId="69" applyNumberFormat="1" applyFont="1" applyFill="1" applyBorder="1" applyAlignment="1" applyProtection="1">
      <alignment vertical="center" wrapText="1"/>
      <protection hidden="1"/>
    </xf>
    <xf numFmtId="3" fontId="18" fillId="4" borderId="108" xfId="69" applyNumberFormat="1" applyFont="1" applyFill="1" applyBorder="1" applyAlignment="1" applyProtection="1">
      <alignment vertical="top" wrapText="1"/>
      <protection hidden="1"/>
    </xf>
    <xf numFmtId="3" fontId="18" fillId="4" borderId="106" xfId="69" applyNumberFormat="1" applyFont="1" applyFill="1" applyBorder="1" applyAlignment="1" applyProtection="1">
      <alignment vertical="top"/>
      <protection hidden="1"/>
    </xf>
    <xf numFmtId="3" fontId="18" fillId="4" borderId="108" xfId="69" applyNumberFormat="1" applyFont="1" applyFill="1" applyBorder="1" applyAlignment="1" applyProtection="1">
      <alignment vertical="top"/>
      <protection hidden="1"/>
    </xf>
    <xf numFmtId="3" fontId="38" fillId="4" borderId="108" xfId="69" applyNumberFormat="1" applyFont="1" applyFill="1" applyBorder="1" applyAlignment="1" applyProtection="1">
      <alignment vertical="center" wrapText="1"/>
      <protection hidden="1"/>
    </xf>
    <xf numFmtId="3" fontId="18" fillId="4" borderId="71" xfId="69" applyNumberFormat="1" applyFont="1" applyFill="1" applyBorder="1" applyAlignment="1" applyProtection="1">
      <alignment vertical="top" wrapText="1"/>
      <protection hidden="1"/>
    </xf>
    <xf numFmtId="3" fontId="18" fillId="4" borderId="109" xfId="69" applyNumberFormat="1" applyFont="1" applyFill="1" applyBorder="1" applyAlignment="1" applyProtection="1">
      <alignment vertical="top" wrapText="1"/>
      <protection hidden="1"/>
    </xf>
    <xf numFmtId="3" fontId="15" fillId="4" borderId="178" xfId="69" applyNumberFormat="1" applyFont="1" applyFill="1" applyBorder="1" applyAlignment="1" applyProtection="1">
      <alignment vertical="center" wrapText="1"/>
      <protection hidden="1"/>
    </xf>
    <xf numFmtId="2" fontId="15" fillId="4" borderId="0" xfId="69" applyNumberFormat="1" applyFont="1" applyFill="1" applyAlignment="1" applyProtection="1">
      <alignment vertical="center"/>
      <protection hidden="1"/>
    </xf>
    <xf numFmtId="4" fontId="15" fillId="4" borderId="0" xfId="69" applyNumberFormat="1" applyFont="1" applyFill="1" applyAlignment="1" applyProtection="1">
      <alignment vertical="center"/>
      <protection hidden="1"/>
    </xf>
    <xf numFmtId="3" fontId="16" fillId="4" borderId="135" xfId="69" applyNumberFormat="1" applyFont="1" applyFill="1" applyBorder="1" applyAlignment="1" applyProtection="1">
      <alignment vertical="center" wrapText="1"/>
      <protection hidden="1"/>
    </xf>
    <xf numFmtId="3" fontId="12" fillId="4" borderId="59" xfId="69" applyNumberFormat="1" applyFont="1" applyFill="1" applyBorder="1" applyAlignment="1" applyProtection="1">
      <alignment vertical="center"/>
      <protection hidden="1"/>
    </xf>
    <xf numFmtId="3" fontId="17" fillId="4" borderId="59" xfId="69" applyNumberFormat="1" applyFont="1" applyFill="1" applyBorder="1" applyAlignment="1" applyProtection="1">
      <alignment vertical="center" wrapText="1"/>
      <protection hidden="1"/>
    </xf>
    <xf numFmtId="3" fontId="17" fillId="4" borderId="71" xfId="69" applyNumberFormat="1" applyFont="1" applyFill="1" applyBorder="1" applyAlignment="1" applyProtection="1">
      <alignment vertical="center" wrapText="1"/>
      <protection hidden="1"/>
    </xf>
    <xf numFmtId="3" fontId="16" fillId="4" borderId="178" xfId="69" applyNumberFormat="1" applyFont="1" applyFill="1" applyBorder="1" applyAlignment="1" applyProtection="1">
      <alignment vertical="center"/>
      <protection hidden="1"/>
    </xf>
    <xf numFmtId="9" fontId="15" fillId="0" borderId="0" xfId="14" applyFont="1" applyBorder="1" applyAlignment="1">
      <alignment vertical="center"/>
    </xf>
    <xf numFmtId="0" fontId="0" fillId="0" borderId="0" xfId="74" applyFont="1"/>
    <xf numFmtId="41" fontId="0" fillId="3" borderId="0" xfId="0" applyNumberFormat="1" applyFont="1" applyFill="1"/>
    <xf numFmtId="0" fontId="16" fillId="0" borderId="18" xfId="0" applyFont="1" applyFill="1" applyBorder="1" applyAlignment="1">
      <alignment horizontal="left" vertical="center" wrapText="1" indent="1"/>
    </xf>
    <xf numFmtId="0" fontId="16" fillId="0" borderId="1" xfId="0" applyFont="1" applyFill="1" applyBorder="1" applyAlignment="1">
      <alignment horizontal="left" vertical="center" wrapText="1" inden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135" fillId="0" borderId="11" xfId="60" applyFont="1" applyBorder="1" applyAlignment="1">
      <alignment horizontal="left" vertical="center"/>
    </xf>
    <xf numFmtId="0" fontId="62" fillId="0" borderId="11" xfId="60" applyBorder="1" applyAlignment="1">
      <alignment horizontal="left"/>
    </xf>
    <xf numFmtId="0" fontId="124" fillId="0" borderId="11" xfId="284" applyBorder="1" applyAlignment="1" applyProtection="1"/>
    <xf numFmtId="0" fontId="62" fillId="0" borderId="71" xfId="60" applyBorder="1" applyAlignment="1">
      <alignment horizontal="left"/>
    </xf>
    <xf numFmtId="41" fontId="12" fillId="0" borderId="0" xfId="0" applyNumberFormat="1" applyFont="1" applyFill="1" applyBorder="1" applyAlignment="1">
      <alignment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0" fontId="16" fillId="0" borderId="28" xfId="0" applyFont="1" applyFill="1" applyBorder="1" applyAlignment="1">
      <alignment horizontal="left" vertical="center" wrapText="1" indent="1"/>
    </xf>
    <xf numFmtId="41" fontId="59" fillId="0" borderId="73" xfId="0" applyNumberFormat="1" applyFont="1" applyFill="1" applyBorder="1" applyAlignment="1">
      <alignment horizontal="center" vertical="center" wrapText="1"/>
    </xf>
    <xf numFmtId="167" fontId="171" fillId="0" borderId="63" xfId="0" applyNumberFormat="1" applyFont="1" applyFill="1" applyBorder="1" applyAlignment="1">
      <alignment horizontal="center" vertical="center"/>
    </xf>
    <xf numFmtId="0" fontId="14" fillId="8" borderId="71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14" fillId="8" borderId="71" xfId="0" applyFont="1" applyFill="1" applyBorder="1" applyAlignment="1">
      <alignment vertical="center" wrapText="1"/>
    </xf>
    <xf numFmtId="167" fontId="16" fillId="0" borderId="0" xfId="0" applyNumberFormat="1" applyFont="1" applyFill="1" applyBorder="1" applyAlignment="1">
      <alignment vertical="center" wrapText="1"/>
    </xf>
    <xf numFmtId="0" fontId="32" fillId="0" borderId="0" xfId="76" applyFont="1" applyAlignment="1">
      <alignment horizontal="left" vertical="center" indent="1"/>
    </xf>
    <xf numFmtId="9" fontId="21" fillId="0" borderId="0" xfId="112" applyFont="1" applyFill="1" applyBorder="1"/>
    <xf numFmtId="0" fontId="41" fillId="0" borderId="172" xfId="46" applyFill="1" applyBorder="1"/>
    <xf numFmtId="167" fontId="212" fillId="0" borderId="181" xfId="284" applyNumberFormat="1" applyFont="1" applyFill="1" applyBorder="1" applyAlignment="1" applyProtection="1">
      <alignment vertical="center" wrapText="1"/>
    </xf>
    <xf numFmtId="3" fontId="43" fillId="7" borderId="13" xfId="46" applyNumberFormat="1" applyFont="1" applyFill="1" applyBorder="1" applyAlignment="1">
      <alignment horizontal="left" vertical="center"/>
    </xf>
    <xf numFmtId="0" fontId="61" fillId="0" borderId="0" xfId="76" applyFont="1" applyBorder="1" applyAlignment="1">
      <alignment vertical="center"/>
    </xf>
    <xf numFmtId="167" fontId="16" fillId="0" borderId="159" xfId="0" applyNumberFormat="1" applyFont="1" applyFill="1" applyBorder="1" applyAlignment="1">
      <alignment vertical="center" wrapText="1"/>
    </xf>
    <xf numFmtId="167" fontId="16" fillId="6" borderId="185" xfId="0" applyNumberFormat="1" applyFont="1" applyFill="1" applyBorder="1" applyAlignment="1">
      <alignment vertical="center" wrapText="1"/>
    </xf>
    <xf numFmtId="167" fontId="16" fillId="0" borderId="166" xfId="0" applyNumberFormat="1" applyFont="1" applyFill="1" applyBorder="1" applyAlignment="1">
      <alignment vertical="center" wrapText="1"/>
    </xf>
    <xf numFmtId="0" fontId="41" fillId="0" borderId="179" xfId="46" applyFill="1" applyBorder="1"/>
    <xf numFmtId="0" fontId="61" fillId="0" borderId="0" xfId="0" applyFont="1" applyAlignment="1">
      <alignment vertical="center"/>
    </xf>
    <xf numFmtId="0" fontId="15" fillId="0" borderId="0" xfId="6" applyFont="1" applyFill="1" applyBorder="1" applyAlignment="1">
      <alignment horizontal="left" vertical="center"/>
    </xf>
    <xf numFmtId="0" fontId="32" fillId="0" borderId="0" xfId="76" applyFont="1" applyAlignment="1">
      <alignment vertical="center"/>
    </xf>
    <xf numFmtId="0" fontId="61" fillId="0" borderId="69" xfId="76" applyFont="1" applyBorder="1" applyAlignment="1">
      <alignment horizontal="center" vertical="center"/>
    </xf>
    <xf numFmtId="167" fontId="16" fillId="0" borderId="158" xfId="0" applyNumberFormat="1" applyFont="1" applyFill="1" applyBorder="1" applyAlignment="1">
      <alignment horizontal="left" vertical="center" wrapText="1"/>
    </xf>
    <xf numFmtId="167" fontId="16" fillId="6" borderId="186" xfId="0" applyNumberFormat="1" applyFont="1" applyFill="1" applyBorder="1" applyAlignment="1">
      <alignment horizontal="left" vertical="center" wrapText="1"/>
    </xf>
    <xf numFmtId="167" fontId="16" fillId="0" borderId="164" xfId="0" applyNumberFormat="1" applyFont="1" applyFill="1" applyBorder="1" applyAlignment="1">
      <alignment horizontal="left" vertical="center" wrapText="1"/>
    </xf>
    <xf numFmtId="0" fontId="41" fillId="0" borderId="167" xfId="46" applyFill="1" applyBorder="1"/>
    <xf numFmtId="0" fontId="23" fillId="0" borderId="2" xfId="46" applyFont="1" applyBorder="1" applyAlignment="1">
      <alignment horizontal="left" vertical="center" indent="1"/>
    </xf>
    <xf numFmtId="0" fontId="0" fillId="0" borderId="0" xfId="0" applyFill="1" applyBorder="1" applyAlignment="1">
      <alignment horizontal="center" vertical="center" textRotation="90"/>
    </xf>
    <xf numFmtId="41" fontId="23" fillId="0" borderId="0" xfId="0" applyNumberFormat="1" applyFont="1" applyFill="1" applyBorder="1"/>
    <xf numFmtId="0" fontId="213" fillId="0" borderId="0" xfId="0" applyFont="1" applyFill="1" applyAlignment="1">
      <alignment horizontal="center"/>
    </xf>
    <xf numFmtId="3" fontId="15" fillId="0" borderId="136" xfId="46" applyNumberFormat="1" applyFont="1" applyBorder="1"/>
    <xf numFmtId="3" fontId="15" fillId="64" borderId="136" xfId="46" applyNumberFormat="1" applyFont="1" applyFill="1" applyBorder="1"/>
    <xf numFmtId="41" fontId="59" fillId="0" borderId="136" xfId="69" applyNumberFormat="1" applyFont="1" applyFill="1" applyBorder="1" applyAlignment="1">
      <alignment horizontal="center" vertical="center" wrapText="1"/>
    </xf>
    <xf numFmtId="3" fontId="17" fillId="3" borderId="0" xfId="46" applyNumberFormat="1" applyFont="1" applyFill="1" applyBorder="1" applyAlignment="1">
      <alignment horizontal="left" vertical="center" wrapText="1"/>
    </xf>
    <xf numFmtId="9" fontId="206" fillId="0" borderId="0" xfId="14" applyFont="1" applyBorder="1" applyAlignment="1">
      <alignment vertical="center"/>
    </xf>
    <xf numFmtId="41" fontId="21" fillId="0" borderId="0" xfId="0" applyNumberFormat="1" applyFont="1" applyFill="1" applyBorder="1"/>
    <xf numFmtId="0" fontId="62" fillId="0" borderId="135" xfId="60" applyBorder="1" applyAlignment="1">
      <alignment horizontal="left"/>
    </xf>
    <xf numFmtId="0" fontId="17" fillId="7" borderId="137" xfId="0" applyFont="1" applyFill="1" applyBorder="1" applyAlignment="1">
      <alignment horizontal="left" vertical="center" wrapText="1"/>
    </xf>
    <xf numFmtId="41" fontId="59" fillId="6" borderId="109" xfId="0" applyNumberFormat="1" applyFont="1" applyFill="1" applyBorder="1" applyAlignment="1">
      <alignment horizontal="center" vertical="center"/>
    </xf>
    <xf numFmtId="0" fontId="33" fillId="0" borderId="71" xfId="0" applyFont="1" applyBorder="1" applyAlignment="1">
      <alignment horizontal="center" vertical="center"/>
    </xf>
    <xf numFmtId="0" fontId="33" fillId="4" borderId="71" xfId="0" applyFont="1" applyFill="1" applyBorder="1" applyAlignment="1">
      <alignment horizontal="center" vertical="center"/>
    </xf>
    <xf numFmtId="167" fontId="16" fillId="0" borderId="0" xfId="0" applyNumberFormat="1" applyFont="1" applyFill="1" applyBorder="1" applyAlignment="1">
      <alignment horizontal="left" vertical="center" wrapText="1"/>
    </xf>
    <xf numFmtId="167" fontId="212" fillId="0" borderId="0" xfId="284" applyNumberFormat="1" applyFont="1" applyFill="1" applyBorder="1" applyAlignment="1" applyProtection="1">
      <alignment vertical="center" wrapText="1"/>
    </xf>
    <xf numFmtId="0" fontId="61" fillId="0" borderId="187" xfId="76" applyFont="1" applyBorder="1" applyAlignment="1">
      <alignment horizontal="center" vertical="center"/>
    </xf>
    <xf numFmtId="0" fontId="61" fillId="0" borderId="131" xfId="76" applyFont="1" applyBorder="1" applyAlignment="1">
      <alignment horizontal="center" vertical="center"/>
    </xf>
    <xf numFmtId="167" fontId="16" fillId="0" borderId="109" xfId="0" applyNumberFormat="1" applyFont="1" applyFill="1" applyBorder="1" applyAlignment="1">
      <alignment horizontal="center" vertical="center" wrapText="1"/>
    </xf>
    <xf numFmtId="0" fontId="61" fillId="0" borderId="177" xfId="76" applyFont="1" applyBorder="1" applyAlignment="1">
      <alignment vertical="center"/>
    </xf>
    <xf numFmtId="167" fontId="16" fillId="0" borderId="109" xfId="0" applyNumberFormat="1" applyFont="1" applyFill="1" applyBorder="1" applyAlignment="1">
      <alignment vertical="center" wrapText="1"/>
    </xf>
    <xf numFmtId="0" fontId="0" fillId="0" borderId="109" xfId="75" applyFont="1" applyFill="1" applyBorder="1" applyAlignment="1">
      <alignment horizontal="center"/>
    </xf>
    <xf numFmtId="167" fontId="17" fillId="7" borderId="137" xfId="0" applyNumberFormat="1" applyFont="1" applyFill="1" applyBorder="1" applyAlignment="1">
      <alignment horizontal="left" vertical="center" wrapText="1"/>
    </xf>
    <xf numFmtId="9" fontId="23" fillId="7" borderId="137" xfId="112" applyFont="1" applyFill="1" applyBorder="1" applyAlignment="1">
      <alignment horizontal="left"/>
    </xf>
    <xf numFmtId="3" fontId="43" fillId="7" borderId="137" xfId="46" applyNumberFormat="1" applyFont="1" applyFill="1" applyBorder="1" applyAlignment="1">
      <alignment horizontal="left" vertical="center"/>
    </xf>
    <xf numFmtId="49" fontId="15" fillId="7" borderId="134" xfId="75" applyNumberFormat="1" applyFont="1" applyFill="1" applyBorder="1" applyAlignment="1">
      <alignment horizontal="center" vertical="center" wrapText="1"/>
    </xf>
    <xf numFmtId="41" fontId="59" fillId="6" borderId="2" xfId="0" applyNumberFormat="1" applyFont="1" applyFill="1" applyBorder="1" applyAlignment="1">
      <alignment horizontal="center" vertical="center"/>
    </xf>
    <xf numFmtId="170" fontId="79" fillId="0" borderId="135" xfId="285" applyNumberFormat="1" applyFont="1" applyBorder="1"/>
    <xf numFmtId="0" fontId="33" fillId="0" borderId="0" xfId="0" applyFont="1" applyBorder="1" applyAlignment="1">
      <alignment horizontal="center" vertical="center"/>
    </xf>
    <xf numFmtId="170" fontId="0" fillId="0" borderId="0" xfId="285" applyNumberFormat="1" applyFont="1" applyBorder="1" applyAlignment="1">
      <alignment vertical="center" wrapText="1"/>
    </xf>
    <xf numFmtId="41" fontId="182" fillId="6" borderId="109" xfId="0" applyNumberFormat="1" applyFont="1" applyFill="1" applyBorder="1" applyAlignment="1">
      <alignment horizontal="center" vertical="center"/>
    </xf>
    <xf numFmtId="41" fontId="182" fillId="0" borderId="190" xfId="0" applyNumberFormat="1" applyFont="1" applyFill="1" applyBorder="1" applyAlignment="1">
      <alignment horizontal="center" vertical="center"/>
    </xf>
    <xf numFmtId="41" fontId="59" fillId="0" borderId="190" xfId="0" applyNumberFormat="1" applyFont="1" applyFill="1" applyBorder="1" applyAlignment="1">
      <alignment horizontal="center" vertical="center"/>
    </xf>
    <xf numFmtId="41" fontId="182" fillId="6" borderId="146" xfId="0" applyNumberFormat="1" applyFont="1" applyFill="1" applyBorder="1" applyAlignment="1">
      <alignment horizontal="center" vertical="center"/>
    </xf>
    <xf numFmtId="41" fontId="65" fillId="6" borderId="146" xfId="0" applyNumberFormat="1" applyFont="1" applyFill="1" applyBorder="1" applyAlignment="1">
      <alignment horizontal="center" vertical="center"/>
    </xf>
    <xf numFmtId="0" fontId="135" fillId="0" borderId="136" xfId="60" applyFont="1" applyBorder="1"/>
    <xf numFmtId="0" fontId="62" fillId="0" borderId="136" xfId="60" applyBorder="1"/>
    <xf numFmtId="0" fontId="62" fillId="0" borderId="136" xfId="60" applyBorder="1" applyAlignment="1">
      <alignment horizontal="left"/>
    </xf>
    <xf numFmtId="0" fontId="124" fillId="0" borderId="136" xfId="284" applyBorder="1" applyAlignment="1" applyProtection="1"/>
    <xf numFmtId="0" fontId="62" fillId="0" borderId="19" xfId="60" applyBorder="1"/>
    <xf numFmtId="41" fontId="59" fillId="6" borderId="25" xfId="0" applyNumberFormat="1" applyFont="1" applyFill="1" applyBorder="1" applyAlignment="1">
      <alignment horizontal="center" vertical="center"/>
    </xf>
    <xf numFmtId="0" fontId="62" fillId="0" borderId="135" xfId="60" applyBorder="1" applyAlignment="1">
      <alignment vertical="center"/>
    </xf>
    <xf numFmtId="0" fontId="124" fillId="0" borderId="0" xfId="284" applyAlignment="1" applyProtection="1"/>
    <xf numFmtId="0" fontId="135" fillId="0" borderId="134" xfId="60" applyFont="1" applyBorder="1"/>
    <xf numFmtId="0" fontId="16" fillId="6" borderId="18" xfId="0" applyFont="1" applyFill="1" applyBorder="1" applyAlignment="1">
      <alignment vertical="center" wrapText="1"/>
    </xf>
    <xf numFmtId="0" fontId="16" fillId="6" borderId="0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vertical="center" wrapText="1"/>
    </xf>
    <xf numFmtId="0" fontId="16" fillId="0" borderId="133" xfId="72" applyFont="1" applyFill="1" applyBorder="1" applyAlignment="1" applyProtection="1">
      <alignment horizontal="center" vertical="center" wrapText="1"/>
      <protection hidden="1"/>
    </xf>
    <xf numFmtId="0" fontId="135" fillId="0" borderId="132" xfId="60" applyFont="1" applyBorder="1"/>
    <xf numFmtId="41" fontId="59" fillId="6" borderId="5" xfId="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left" vertical="center"/>
    </xf>
    <xf numFmtId="3" fontId="11" fillId="0" borderId="0" xfId="0" applyNumberFormat="1" applyFont="1" applyAlignment="1">
      <alignment horizontal="left" vertical="center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59" fillId="6" borderId="7" xfId="69" applyNumberFormat="1" applyFont="1" applyFill="1" applyBorder="1" applyAlignment="1">
      <alignment horizontal="center" vertical="center" wrapText="1"/>
    </xf>
    <xf numFmtId="0" fontId="16" fillId="0" borderId="0" xfId="69" applyFont="1" applyFill="1" applyBorder="1" applyAlignment="1" applyProtection="1">
      <alignment horizontal="center" vertical="center" wrapText="1"/>
      <protection hidden="1"/>
    </xf>
    <xf numFmtId="0" fontId="28" fillId="0" borderId="0" xfId="69" applyFont="1" applyFill="1" applyBorder="1" applyAlignment="1" applyProtection="1">
      <alignment horizontal="center"/>
      <protection hidden="1"/>
    </xf>
    <xf numFmtId="0" fontId="11" fillId="0" borderId="0" xfId="6" applyFont="1" applyFill="1" applyBorder="1" applyAlignment="1">
      <alignment horizontal="left" vertical="center"/>
    </xf>
    <xf numFmtId="0" fontId="70" fillId="0" borderId="4" xfId="284" applyFont="1" applyBorder="1" applyAlignment="1" applyProtection="1">
      <alignment vertical="center" wrapText="1"/>
    </xf>
    <xf numFmtId="0" fontId="216" fillId="0" borderId="4" xfId="284" applyFont="1" applyBorder="1" applyAlignment="1" applyProtection="1">
      <alignment vertical="center" wrapText="1"/>
    </xf>
    <xf numFmtId="0" fontId="17" fillId="6" borderId="5" xfId="0" applyFont="1" applyFill="1" applyBorder="1" applyAlignment="1">
      <alignment horizontal="left" vertical="center" wrapText="1" indent="1"/>
    </xf>
    <xf numFmtId="41" fontId="59" fillId="6" borderId="135" xfId="69" applyNumberFormat="1" applyFont="1" applyFill="1" applyBorder="1" applyAlignment="1">
      <alignment horizontal="center" vertical="center" wrapText="1"/>
    </xf>
    <xf numFmtId="41" fontId="59" fillId="6" borderId="71" xfId="69" applyNumberFormat="1" applyFont="1" applyFill="1" applyBorder="1" applyAlignment="1">
      <alignment horizontal="center" vertical="center" wrapText="1"/>
    </xf>
    <xf numFmtId="41" fontId="59" fillId="0" borderId="59" xfId="69" applyNumberFormat="1" applyFont="1" applyFill="1" applyBorder="1" applyAlignment="1">
      <alignment horizontal="center" vertical="center" wrapText="1"/>
    </xf>
    <xf numFmtId="41" fontId="59" fillId="6" borderId="59" xfId="6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7" fillId="0" borderId="135" xfId="46" applyFont="1" applyFill="1" applyBorder="1" applyAlignment="1">
      <alignment horizontal="left" vertical="center" wrapText="1" indent="1"/>
    </xf>
    <xf numFmtId="3" fontId="219" fillId="0" borderId="133" xfId="46" applyNumberFormat="1" applyFont="1" applyFill="1" applyBorder="1" applyAlignment="1">
      <alignment horizontal="left" vertical="center" wrapText="1" indent="1"/>
    </xf>
    <xf numFmtId="4" fontId="218" fillId="0" borderId="133" xfId="7" applyNumberFormat="1" applyFont="1" applyFill="1" applyBorder="1" applyAlignment="1">
      <alignment horizontal="left" vertical="center" wrapText="1" indent="1"/>
    </xf>
    <xf numFmtId="3" fontId="221" fillId="5" borderId="135" xfId="69" applyNumberFormat="1" applyFont="1" applyFill="1" applyBorder="1" applyAlignment="1">
      <alignment horizontal="center" vertical="center" wrapText="1"/>
    </xf>
    <xf numFmtId="3" fontId="221" fillId="58" borderId="133" xfId="69" applyNumberFormat="1" applyFont="1" applyFill="1" applyBorder="1" applyAlignment="1" applyProtection="1">
      <alignment vertical="center"/>
      <protection hidden="1"/>
    </xf>
    <xf numFmtId="3" fontId="221" fillId="57" borderId="135" xfId="69" applyNumberFormat="1" applyFont="1" applyFill="1" applyBorder="1" applyAlignment="1" applyProtection="1">
      <alignment vertical="center"/>
      <protection hidden="1"/>
    </xf>
    <xf numFmtId="3" fontId="220" fillId="0" borderId="133" xfId="46" applyNumberFormat="1" applyFont="1" applyFill="1" applyBorder="1" applyAlignment="1">
      <alignment horizontal="left" vertical="center" wrapText="1" indent="1"/>
    </xf>
    <xf numFmtId="3" fontId="221" fillId="58" borderId="135" xfId="69" applyNumberFormat="1" applyFont="1" applyFill="1" applyBorder="1" applyAlignment="1" applyProtection="1">
      <alignment vertical="center"/>
      <protection hidden="1"/>
    </xf>
    <xf numFmtId="3" fontId="220" fillId="59" borderId="135" xfId="69" applyNumberFormat="1" applyFont="1" applyFill="1" applyBorder="1" applyAlignment="1">
      <alignment horizontal="center" vertical="center" wrapText="1"/>
    </xf>
    <xf numFmtId="3" fontId="221" fillId="6" borderId="109" xfId="118" applyNumberFormat="1" applyFont="1" applyFill="1" applyBorder="1" applyAlignment="1">
      <alignment horizontal="center" vertical="center" wrapText="1"/>
    </xf>
    <xf numFmtId="3" fontId="221" fillId="61" borderId="135" xfId="69" applyNumberFormat="1" applyFont="1" applyFill="1" applyBorder="1" applyAlignment="1" applyProtection="1">
      <alignment vertical="center"/>
      <protection hidden="1"/>
    </xf>
    <xf numFmtId="3" fontId="220" fillId="61" borderId="135" xfId="69" applyNumberFormat="1" applyFont="1" applyFill="1" applyBorder="1" applyAlignment="1" applyProtection="1">
      <alignment vertical="center"/>
      <protection hidden="1"/>
    </xf>
    <xf numFmtId="3" fontId="221" fillId="62" borderId="135" xfId="69" applyNumberFormat="1" applyFont="1" applyFill="1" applyBorder="1" applyAlignment="1" applyProtection="1">
      <alignment vertical="center"/>
      <protection hidden="1"/>
    </xf>
    <xf numFmtId="3" fontId="220" fillId="0" borderId="137" xfId="46" applyNumberFormat="1" applyFont="1" applyFill="1" applyBorder="1" applyAlignment="1">
      <alignment horizontal="left" vertical="center" wrapText="1" indent="1"/>
    </xf>
    <xf numFmtId="3" fontId="221" fillId="6" borderId="135" xfId="69" applyNumberFormat="1" applyFont="1" applyFill="1" applyBorder="1" applyAlignment="1" applyProtection="1">
      <alignment vertical="center"/>
      <protection hidden="1"/>
    </xf>
    <xf numFmtId="3" fontId="221" fillId="0" borderId="178" xfId="69" applyNumberFormat="1" applyFont="1" applyFill="1" applyBorder="1" applyAlignment="1" applyProtection="1">
      <alignment vertical="center"/>
      <protection hidden="1"/>
    </xf>
    <xf numFmtId="3" fontId="221" fillId="0" borderId="134" xfId="69" applyNumberFormat="1" applyFont="1" applyFill="1" applyBorder="1" applyAlignment="1" applyProtection="1">
      <alignment vertical="center"/>
      <protection hidden="1"/>
    </xf>
    <xf numFmtId="3" fontId="221" fillId="0" borderId="135" xfId="69" applyNumberFormat="1" applyFont="1" applyFill="1" applyBorder="1" applyAlignment="1" applyProtection="1">
      <alignment vertical="center"/>
      <protection hidden="1"/>
    </xf>
    <xf numFmtId="3" fontId="221" fillId="0" borderId="0" xfId="69" applyNumberFormat="1" applyFont="1" applyFill="1" applyAlignment="1" applyProtection="1">
      <alignment vertical="center"/>
      <protection hidden="1"/>
    </xf>
    <xf numFmtId="3" fontId="37" fillId="6" borderId="60" xfId="69" applyNumberFormat="1" applyFont="1" applyFill="1" applyBorder="1" applyAlignment="1">
      <alignment vertical="center" wrapText="1"/>
    </xf>
    <xf numFmtId="3" fontId="37" fillId="0" borderId="134" xfId="69" applyNumberFormat="1" applyFont="1" applyFill="1" applyBorder="1" applyAlignment="1" applyProtection="1">
      <alignment vertical="center"/>
      <protection hidden="1"/>
    </xf>
    <xf numFmtId="3" fontId="37" fillId="0" borderId="135" xfId="69" applyNumberFormat="1" applyFont="1" applyFill="1" applyBorder="1" applyAlignment="1" applyProtection="1">
      <alignment vertical="center"/>
      <protection hidden="1"/>
    </xf>
    <xf numFmtId="3" fontId="37" fillId="0" borderId="0" xfId="69" applyNumberFormat="1" applyFont="1" applyFill="1" applyAlignment="1" applyProtection="1">
      <alignment vertical="center"/>
      <protection hidden="1"/>
    </xf>
    <xf numFmtId="3" fontId="76" fillId="0" borderId="5" xfId="69" applyNumberFormat="1" applyFont="1" applyFill="1" applyBorder="1" applyAlignment="1">
      <alignment horizontal="center" vertical="center" wrapText="1"/>
    </xf>
    <xf numFmtId="3" fontId="73" fillId="0" borderId="5" xfId="46" applyNumberFormat="1" applyFont="1" applyFill="1" applyBorder="1" applyAlignment="1">
      <alignment horizontal="left" vertical="center" wrapText="1" indent="1"/>
    </xf>
    <xf numFmtId="4" fontId="29" fillId="0" borderId="60" xfId="7" applyNumberFormat="1" applyFont="1" applyFill="1" applyBorder="1" applyAlignment="1">
      <alignment horizontal="left" vertical="center" wrapText="1" indent="1"/>
    </xf>
    <xf numFmtId="3" fontId="37" fillId="58" borderId="60" xfId="69" applyNumberFormat="1" applyFont="1" applyFill="1" applyBorder="1" applyAlignment="1">
      <alignment vertical="center" wrapText="1"/>
    </xf>
    <xf numFmtId="3" fontId="37" fillId="5" borderId="59" xfId="7" applyNumberFormat="1" applyFont="1" applyFill="1" applyBorder="1" applyAlignment="1" applyProtection="1">
      <alignment vertical="center"/>
      <protection hidden="1"/>
    </xf>
    <xf numFmtId="3" fontId="37" fillId="57" borderId="59" xfId="69" applyNumberFormat="1" applyFont="1" applyFill="1" applyBorder="1" applyAlignment="1" applyProtection="1">
      <alignment vertical="center"/>
      <protection hidden="1"/>
    </xf>
    <xf numFmtId="3" fontId="38" fillId="0" borderId="62" xfId="46" applyNumberFormat="1" applyFont="1" applyFill="1" applyBorder="1" applyAlignment="1">
      <alignment horizontal="left" vertical="center" wrapText="1" indent="1"/>
    </xf>
    <xf numFmtId="3" fontId="37" fillId="0" borderId="59" xfId="69" applyNumberFormat="1" applyFont="1" applyFill="1" applyBorder="1" applyAlignment="1" applyProtection="1">
      <alignment vertical="center"/>
      <protection hidden="1"/>
    </xf>
    <xf numFmtId="3" fontId="37" fillId="0" borderId="71" xfId="69" applyNumberFormat="1" applyFont="1" applyFill="1" applyBorder="1" applyAlignment="1" applyProtection="1">
      <alignment vertical="center"/>
      <protection hidden="1"/>
    </xf>
    <xf numFmtId="3" fontId="15" fillId="5" borderId="135" xfId="7" applyNumberFormat="1" applyFont="1" applyFill="1" applyBorder="1" applyAlignment="1" applyProtection="1">
      <alignment vertical="center"/>
      <protection hidden="1"/>
    </xf>
    <xf numFmtId="41" fontId="80" fillId="0" borderId="137" xfId="69" applyNumberFormat="1" applyFont="1" applyFill="1" applyBorder="1" applyAlignment="1">
      <alignment vertical="center" wrapText="1"/>
    </xf>
    <xf numFmtId="0" fontId="17" fillId="0" borderId="135" xfId="0" applyFont="1" applyFill="1" applyBorder="1" applyAlignment="1">
      <alignment horizontal="left" vertical="center" wrapText="1" indent="1"/>
    </xf>
    <xf numFmtId="0" fontId="17" fillId="6" borderId="71" xfId="46" applyFont="1" applyFill="1" applyBorder="1" applyAlignment="1">
      <alignment vertical="center" wrapText="1"/>
    </xf>
    <xf numFmtId="0" fontId="43" fillId="0" borderId="0" xfId="46" applyFont="1" applyFill="1" applyBorder="1" applyAlignment="1">
      <alignment horizontal="center" vertical="center"/>
    </xf>
    <xf numFmtId="0" fontId="15" fillId="0" borderId="71" xfId="80" applyFont="1" applyFill="1" applyBorder="1" applyAlignment="1">
      <alignment vertical="center"/>
    </xf>
    <xf numFmtId="0" fontId="30" fillId="6" borderId="71" xfId="80" applyFont="1" applyFill="1" applyBorder="1" applyAlignment="1">
      <alignment vertical="center"/>
    </xf>
    <xf numFmtId="0" fontId="41" fillId="0" borderId="135" xfId="46" applyBorder="1" applyAlignment="1"/>
    <xf numFmtId="0" fontId="30" fillId="0" borderId="71" xfId="80" applyFont="1" applyFill="1" applyBorder="1" applyAlignment="1">
      <alignment horizontal="left" vertical="center"/>
    </xf>
    <xf numFmtId="0" fontId="30" fillId="6" borderId="71" xfId="80" applyFont="1" applyFill="1" applyBorder="1" applyAlignment="1">
      <alignment horizontal="left" vertical="center"/>
    </xf>
    <xf numFmtId="0" fontId="30" fillId="0" borderId="85" xfId="80" applyFont="1" applyFill="1" applyBorder="1" applyAlignment="1">
      <alignment horizontal="left" vertical="center"/>
    </xf>
    <xf numFmtId="0" fontId="30" fillId="6" borderId="85" xfId="80" applyFont="1" applyFill="1" applyBorder="1" applyAlignment="1">
      <alignment horizontal="left" vertical="center"/>
    </xf>
    <xf numFmtId="0" fontId="15" fillId="6" borderId="71" xfId="80" applyFont="1" applyFill="1" applyBorder="1" applyAlignment="1">
      <alignment horizontal="left" vertical="center"/>
    </xf>
    <xf numFmtId="0" fontId="15" fillId="0" borderId="71" xfId="80" applyFont="1" applyBorder="1" applyAlignment="1">
      <alignment horizontal="left" vertical="center"/>
    </xf>
    <xf numFmtId="43" fontId="30" fillId="0" borderId="71" xfId="82" applyFont="1" applyFill="1" applyBorder="1" applyAlignment="1">
      <alignment vertical="center"/>
    </xf>
    <xf numFmtId="43" fontId="30" fillId="6" borderId="71" xfId="82" applyFont="1" applyFill="1" applyBorder="1" applyAlignment="1">
      <alignment vertical="center"/>
    </xf>
    <xf numFmtId="0" fontId="18" fillId="0" borderId="0" xfId="6" applyFont="1" applyFill="1" applyAlignment="1">
      <alignment vertical="center"/>
    </xf>
    <xf numFmtId="0" fontId="62" fillId="0" borderId="135" xfId="60" applyBorder="1" applyAlignment="1">
      <alignment horizontal="left"/>
    </xf>
    <xf numFmtId="0" fontId="7" fillId="8" borderId="11" xfId="0" applyFont="1" applyFill="1" applyBorder="1" applyAlignment="1">
      <alignment horizontal="center" vertical="center" wrapText="1"/>
    </xf>
    <xf numFmtId="0" fontId="62" fillId="0" borderId="135" xfId="60" applyBorder="1" applyAlignment="1">
      <alignment horizontal="left"/>
    </xf>
    <xf numFmtId="0" fontId="124" fillId="0" borderId="0" xfId="284" quotePrefix="1" applyAlignment="1" applyProtection="1"/>
    <xf numFmtId="0" fontId="7" fillId="8" borderId="71" xfId="0" applyFont="1" applyFill="1" applyBorder="1" applyAlignment="1">
      <alignment horizontal="center" vertical="center" wrapTex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28" fillId="0" borderId="135" xfId="69" applyFont="1" applyBorder="1" applyAlignment="1" applyProtection="1">
      <alignment horizontal="center" wrapText="1"/>
      <protection hidden="1"/>
    </xf>
    <xf numFmtId="0" fontId="46" fillId="6" borderId="135" xfId="69" applyFont="1" applyFill="1" applyBorder="1" applyAlignment="1" applyProtection="1">
      <alignment horizontal="right" vertical="center" wrapText="1"/>
      <protection hidden="1"/>
    </xf>
    <xf numFmtId="0" fontId="46" fillId="0" borderId="135" xfId="69" applyFont="1" applyBorder="1" applyAlignment="1" applyProtection="1">
      <alignment horizontal="right" vertical="center" wrapText="1"/>
      <protection hidden="1"/>
    </xf>
    <xf numFmtId="0" fontId="14" fillId="7" borderId="137" xfId="6" applyFont="1" applyFill="1" applyBorder="1" applyAlignment="1">
      <alignment vertical="center" wrapText="1"/>
    </xf>
    <xf numFmtId="41" fontId="59" fillId="6" borderId="135" xfId="0" applyNumberFormat="1" applyFont="1" applyFill="1" applyBorder="1" applyAlignment="1">
      <alignment horizontal="center" vertical="center" wrapText="1"/>
    </xf>
    <xf numFmtId="41" fontId="59" fillId="6" borderId="143" xfId="0" applyNumberFormat="1" applyFont="1" applyFill="1" applyBorder="1" applyAlignment="1">
      <alignment horizontal="center" vertical="center" wrapText="1"/>
    </xf>
    <xf numFmtId="171" fontId="59" fillId="0" borderId="35" xfId="0" applyNumberFormat="1" applyFont="1" applyFill="1" applyBorder="1" applyAlignment="1">
      <alignment horizontal="center" vertical="center" wrapText="1"/>
    </xf>
    <xf numFmtId="0" fontId="43" fillId="9" borderId="135" xfId="46" applyFont="1" applyFill="1" applyBorder="1" applyAlignment="1">
      <alignment horizontal="center" vertical="center"/>
    </xf>
    <xf numFmtId="0" fontId="15" fillId="0" borderId="135" xfId="80" applyFont="1" applyFill="1" applyBorder="1" applyAlignment="1">
      <alignment horizontal="left" vertical="center"/>
    </xf>
    <xf numFmtId="0" fontId="30" fillId="6" borderId="135" xfId="80" applyFont="1" applyFill="1" applyBorder="1" applyAlignment="1">
      <alignment horizontal="left" vertical="center"/>
    </xf>
    <xf numFmtId="14" fontId="15" fillId="0" borderId="0" xfId="1" applyNumberFormat="1" applyFont="1" applyBorder="1" applyAlignment="1" applyProtection="1">
      <alignment horizontal="right"/>
      <protection hidden="1"/>
    </xf>
    <xf numFmtId="41" fontId="30" fillId="0" borderId="71" xfId="82" applyNumberFormat="1" applyFont="1" applyFill="1" applyBorder="1" applyAlignment="1">
      <alignment horizontal="left" indent="1"/>
    </xf>
    <xf numFmtId="41" fontId="30" fillId="0" borderId="70" xfId="82" applyNumberFormat="1" applyFont="1" applyFill="1" applyBorder="1" applyAlignment="1">
      <alignment horizontal="center" vertical="center"/>
    </xf>
    <xf numFmtId="41" fontId="30" fillId="6" borderId="71" xfId="82" applyNumberFormat="1" applyFont="1" applyFill="1" applyBorder="1" applyAlignment="1">
      <alignment horizontal="left" indent="1"/>
    </xf>
    <xf numFmtId="41" fontId="30" fillId="6" borderId="70" xfId="82" applyNumberFormat="1" applyFont="1" applyFill="1" applyBorder="1" applyAlignment="1">
      <alignment horizontal="center" vertical="center"/>
    </xf>
    <xf numFmtId="41" fontId="15" fillId="6" borderId="135" xfId="46" applyNumberFormat="1" applyFont="1" applyFill="1" applyBorder="1" applyAlignment="1">
      <alignment horizontal="left" indent="1"/>
    </xf>
    <xf numFmtId="41" fontId="15" fillId="6" borderId="135" xfId="46" applyNumberFormat="1" applyFont="1" applyFill="1" applyBorder="1" applyAlignment="1">
      <alignment horizontal="center" vertical="center"/>
    </xf>
    <xf numFmtId="41" fontId="15" fillId="0" borderId="135" xfId="46" applyNumberFormat="1" applyFont="1" applyBorder="1" applyAlignment="1">
      <alignment horizontal="left" indent="1"/>
    </xf>
    <xf numFmtId="41" fontId="15" fillId="0" borderId="135" xfId="46" applyNumberFormat="1" applyFont="1" applyBorder="1" applyAlignment="1">
      <alignment horizontal="center" vertical="center"/>
    </xf>
    <xf numFmtId="41" fontId="30" fillId="0" borderId="71" xfId="82" applyNumberFormat="1" applyFont="1" applyFill="1" applyBorder="1" applyAlignment="1">
      <alignment horizontal="left" vertical="center" indent="1"/>
    </xf>
    <xf numFmtId="41" fontId="30" fillId="6" borderId="71" xfId="82" applyNumberFormat="1" applyFont="1" applyFill="1" applyBorder="1" applyAlignment="1">
      <alignment horizontal="left" vertical="center" indent="1"/>
    </xf>
    <xf numFmtId="41" fontId="15" fillId="6" borderId="135" xfId="46" applyNumberFormat="1" applyFont="1" applyFill="1" applyBorder="1" applyAlignment="1">
      <alignment horizontal="left" vertical="center" indent="1"/>
    </xf>
    <xf numFmtId="41" fontId="15" fillId="0" borderId="135" xfId="46" applyNumberFormat="1" applyFont="1" applyBorder="1" applyAlignment="1">
      <alignment horizontal="left" vertical="center" indent="1"/>
    </xf>
    <xf numFmtId="0" fontId="135" fillId="0" borderId="135" xfId="60" applyFont="1" applyBorder="1" applyAlignment="1"/>
    <xf numFmtId="0" fontId="124" fillId="0" borderId="135" xfId="284" applyBorder="1" applyAlignment="1" applyProtection="1">
      <alignment vertical="center" wrapText="1"/>
    </xf>
    <xf numFmtId="0" fontId="7" fillId="3" borderId="0" xfId="0" applyFont="1" applyFill="1" applyBorder="1" applyAlignment="1"/>
    <xf numFmtId="0" fontId="222" fillId="0" borderId="4" xfId="284" applyFont="1" applyBorder="1" applyAlignment="1" applyProtection="1">
      <alignment vertical="center" wrapText="1"/>
    </xf>
    <xf numFmtId="0" fontId="216" fillId="0" borderId="37" xfId="284" applyFont="1" applyBorder="1" applyAlignment="1" applyProtection="1">
      <alignment vertical="center" wrapText="1"/>
    </xf>
    <xf numFmtId="167" fontId="171" fillId="0" borderId="181" xfId="284" applyNumberFormat="1" applyFont="1" applyFill="1" applyBorder="1" applyAlignment="1" applyProtection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41" fontId="23" fillId="4" borderId="135" xfId="0" applyNumberFormat="1" applyFont="1" applyFill="1" applyBorder="1" applyAlignment="1">
      <alignment vertical="top"/>
    </xf>
    <xf numFmtId="41" fontId="7" fillId="4" borderId="135" xfId="0" applyNumberFormat="1" applyFont="1" applyFill="1" applyBorder="1" applyAlignment="1">
      <alignment vertical="top"/>
    </xf>
    <xf numFmtId="41" fontId="7" fillId="0" borderId="135" xfId="0" applyNumberFormat="1" applyFont="1" applyFill="1" applyBorder="1"/>
    <xf numFmtId="0" fontId="12" fillId="6" borderId="135" xfId="0" applyFont="1" applyFill="1" applyBorder="1" applyAlignment="1">
      <alignment horizontal="center" vertical="center" wrapText="1"/>
    </xf>
    <xf numFmtId="41" fontId="0" fillId="0" borderId="135" xfId="0" applyNumberFormat="1" applyFont="1" applyFill="1" applyBorder="1" applyAlignment="1">
      <alignment vertical="top"/>
    </xf>
    <xf numFmtId="41" fontId="14" fillId="0" borderId="103" xfId="0" applyNumberFormat="1" applyFont="1" applyFill="1" applyBorder="1" applyAlignment="1">
      <alignment vertical="top"/>
    </xf>
    <xf numFmtId="41" fontId="14" fillId="0" borderId="133" xfId="0" applyNumberFormat="1" applyFont="1" applyFill="1" applyBorder="1" applyAlignment="1">
      <alignment vertical="top"/>
    </xf>
    <xf numFmtId="171" fontId="7" fillId="0" borderId="59" xfId="7" applyNumberFormat="1" applyFont="1" applyFill="1" applyBorder="1" applyAlignment="1">
      <alignment horizontal="left"/>
    </xf>
    <xf numFmtId="171" fontId="17" fillId="0" borderId="59" xfId="7" applyNumberFormat="1" applyFont="1" applyFill="1" applyBorder="1" applyAlignment="1">
      <alignment horizontal="left" vertical="center" wrapText="1" indent="1"/>
    </xf>
    <xf numFmtId="0" fontId="7" fillId="8" borderId="0" xfId="0" applyFont="1" applyFill="1"/>
    <xf numFmtId="171" fontId="7" fillId="8" borderId="59" xfId="7" applyNumberFormat="1" applyFont="1" applyFill="1" applyBorder="1" applyAlignment="1">
      <alignment horizontal="left"/>
    </xf>
    <xf numFmtId="0" fontId="17" fillId="8" borderId="59" xfId="6" applyFont="1" applyFill="1" applyBorder="1" applyAlignment="1">
      <alignment horizontal="left" vertical="center" wrapText="1" indent="1"/>
    </xf>
    <xf numFmtId="9" fontId="35" fillId="8" borderId="59" xfId="0" applyNumberFormat="1" applyFont="1" applyFill="1" applyBorder="1" applyAlignment="1"/>
    <xf numFmtId="41" fontId="23" fillId="8" borderId="59" xfId="0" applyNumberFormat="1" applyFont="1" applyFill="1" applyBorder="1" applyAlignment="1">
      <alignment vertical="top"/>
    </xf>
    <xf numFmtId="41" fontId="23" fillId="8" borderId="103" xfId="0" applyNumberFormat="1" applyFont="1" applyFill="1" applyBorder="1" applyAlignment="1">
      <alignment vertical="top"/>
    </xf>
    <xf numFmtId="41" fontId="23" fillId="8" borderId="133" xfId="0" applyNumberFormat="1" applyFont="1" applyFill="1" applyBorder="1" applyAlignment="1">
      <alignment vertical="top"/>
    </xf>
    <xf numFmtId="41" fontId="23" fillId="8" borderId="71" xfId="0" applyNumberFormat="1" applyFont="1" applyFill="1" applyBorder="1"/>
    <xf numFmtId="0" fontId="23" fillId="8" borderId="0" xfId="0" applyFont="1" applyFill="1" applyBorder="1"/>
    <xf numFmtId="171" fontId="17" fillId="8" borderId="59" xfId="7" applyNumberFormat="1" applyFont="1" applyFill="1" applyBorder="1" applyAlignment="1">
      <alignment horizontal="left" vertical="center" wrapText="1" indent="1"/>
    </xf>
    <xf numFmtId="43" fontId="26" fillId="8" borderId="60" xfId="7" applyNumberFormat="1" applyFont="1" applyFill="1" applyBorder="1" applyAlignment="1">
      <alignment horizontal="left" vertical="center" wrapText="1" indent="1"/>
    </xf>
    <xf numFmtId="43" fontId="26" fillId="8" borderId="104" xfId="7" applyNumberFormat="1" applyFont="1" applyFill="1" applyBorder="1" applyAlignment="1">
      <alignment horizontal="left" vertical="center" wrapText="1" indent="1"/>
    </xf>
    <xf numFmtId="41" fontId="7" fillId="8" borderId="59" xfId="0" applyNumberFormat="1" applyFont="1" applyFill="1" applyBorder="1" applyAlignment="1">
      <alignment vertical="top"/>
    </xf>
    <xf numFmtId="41" fontId="7" fillId="8" borderId="103" xfId="0" applyNumberFormat="1" applyFont="1" applyFill="1" applyBorder="1" applyAlignment="1">
      <alignment vertical="top"/>
    </xf>
    <xf numFmtId="41" fontId="7" fillId="8" borderId="133" xfId="0" applyNumberFormat="1" applyFont="1" applyFill="1" applyBorder="1" applyAlignment="1">
      <alignment vertical="top"/>
    </xf>
    <xf numFmtId="41" fontId="7" fillId="8" borderId="71" xfId="0" applyNumberFormat="1" applyFont="1" applyFill="1" applyBorder="1"/>
    <xf numFmtId="0" fontId="7" fillId="8" borderId="0" xfId="0" applyFont="1" applyFill="1" applyBorder="1"/>
    <xf numFmtId="41" fontId="179" fillId="0" borderId="59" xfId="0" applyNumberFormat="1" applyFont="1" applyFill="1" applyBorder="1" applyAlignment="1">
      <alignment vertical="top"/>
    </xf>
    <xf numFmtId="41" fontId="0" fillId="8" borderId="59" xfId="0" applyNumberFormat="1" applyFont="1" applyFill="1" applyBorder="1" applyAlignment="1">
      <alignment vertical="top"/>
    </xf>
    <xf numFmtId="0" fontId="12" fillId="0" borderId="59" xfId="0" applyFont="1" applyBorder="1" applyAlignment="1">
      <alignment horizontal="center" wrapText="1"/>
    </xf>
    <xf numFmtId="43" fontId="224" fillId="8" borderId="103" xfId="7" applyNumberFormat="1" applyFont="1" applyFill="1" applyBorder="1" applyAlignment="1">
      <alignment horizontal="left" vertical="center" wrapText="1" indent="1"/>
    </xf>
    <xf numFmtId="43" fontId="224" fillId="8" borderId="59" xfId="7" applyNumberFormat="1" applyFont="1" applyFill="1" applyBorder="1" applyAlignment="1">
      <alignment horizontal="left" vertical="center" wrapText="1" indent="1"/>
    </xf>
    <xf numFmtId="171" fontId="0" fillId="0" borderId="0" xfId="7" applyNumberFormat="1" applyFont="1" applyFill="1" applyBorder="1"/>
    <xf numFmtId="171" fontId="12" fillId="0" borderId="0" xfId="7" applyNumberFormat="1" applyFont="1" applyAlignment="1"/>
    <xf numFmtId="171" fontId="14" fillId="0" borderId="2" xfId="7" applyNumberFormat="1" applyFont="1" applyBorder="1" applyAlignment="1">
      <alignment horizontal="left" vertical="center" indent="1"/>
    </xf>
    <xf numFmtId="171" fontId="12" fillId="0" borderId="105" xfId="7" applyNumberFormat="1" applyFont="1" applyBorder="1" applyAlignment="1">
      <alignment horizontal="center"/>
    </xf>
    <xf numFmtId="171" fontId="12" fillId="0" borderId="105" xfId="7" applyNumberFormat="1" applyFont="1" applyBorder="1" applyAlignment="1">
      <alignment horizontal="center" vertical="center" wrapText="1"/>
    </xf>
    <xf numFmtId="171" fontId="12" fillId="8" borderId="103" xfId="7" applyNumberFormat="1" applyFont="1" applyFill="1" applyBorder="1" applyAlignment="1">
      <alignment horizontal="center" vertical="center" wrapText="1"/>
    </xf>
    <xf numFmtId="171" fontId="12" fillId="0" borderId="135" xfId="7" applyNumberFormat="1" applyFont="1" applyBorder="1" applyAlignment="1"/>
    <xf numFmtId="171" fontId="12" fillId="6" borderId="103" xfId="7" applyNumberFormat="1" applyFont="1" applyFill="1" applyBorder="1" applyAlignment="1">
      <alignment horizontal="center" vertical="center" wrapText="1"/>
    </xf>
    <xf numFmtId="171" fontId="39" fillId="6" borderId="103" xfId="7" applyNumberFormat="1" applyFont="1" applyFill="1" applyBorder="1" applyAlignment="1">
      <alignment horizontal="center" vertical="center" wrapText="1"/>
    </xf>
    <xf numFmtId="171" fontId="12" fillId="60" borderId="103" xfId="7" applyNumberFormat="1" applyFont="1" applyFill="1" applyBorder="1" applyAlignment="1">
      <alignment horizontal="center" vertical="center" wrapText="1"/>
    </xf>
    <xf numFmtId="171" fontId="12" fillId="58" borderId="103" xfId="7" applyNumberFormat="1" applyFont="1" applyFill="1" applyBorder="1" applyAlignment="1">
      <alignment horizontal="center" vertical="center" wrapText="1"/>
    </xf>
    <xf numFmtId="171" fontId="73" fillId="8" borderId="103" xfId="7" applyNumberFormat="1" applyFont="1" applyFill="1" applyBorder="1" applyAlignment="1">
      <alignment horizontal="center" vertical="center" wrapText="1"/>
    </xf>
    <xf numFmtId="171" fontId="12" fillId="2" borderId="103" xfId="7" applyNumberFormat="1" applyFont="1" applyFill="1" applyBorder="1" applyAlignment="1">
      <alignment horizontal="center" vertical="center" wrapText="1"/>
    </xf>
    <xf numFmtId="171" fontId="12" fillId="6" borderId="133" xfId="7" applyNumberFormat="1" applyFont="1" applyFill="1" applyBorder="1" applyAlignment="1">
      <alignment horizontal="center" vertical="center" wrapText="1"/>
    </xf>
    <xf numFmtId="9" fontId="12" fillId="8" borderId="103" xfId="14" applyFont="1" applyFill="1" applyBorder="1" applyAlignment="1">
      <alignment horizontal="center" vertical="center" wrapText="1"/>
    </xf>
    <xf numFmtId="171" fontId="12" fillId="8" borderId="135" xfId="7" applyNumberFormat="1" applyFont="1" applyFill="1" applyBorder="1" applyAlignment="1">
      <alignment horizontal="center" vertical="center" wrapText="1"/>
    </xf>
    <xf numFmtId="41" fontId="23" fillId="8" borderId="135" xfId="0" applyNumberFormat="1" applyFont="1" applyFill="1" applyBorder="1" applyAlignment="1">
      <alignment vertical="top"/>
    </xf>
    <xf numFmtId="41" fontId="7" fillId="8" borderId="135" xfId="0" applyNumberFormat="1" applyFont="1" applyFill="1" applyBorder="1" applyAlignment="1">
      <alignment vertical="top"/>
    </xf>
    <xf numFmtId="41" fontId="179" fillId="8" borderId="135" xfId="0" applyNumberFormat="1" applyFont="1" applyFill="1" applyBorder="1" applyAlignment="1">
      <alignment vertical="top"/>
    </xf>
    <xf numFmtId="41" fontId="179" fillId="4" borderId="135" xfId="0" applyNumberFormat="1" applyFont="1" applyFill="1" applyBorder="1" applyAlignment="1">
      <alignment vertical="top"/>
    </xf>
    <xf numFmtId="41" fontId="0" fillId="4" borderId="135" xfId="0" applyNumberFormat="1" applyFont="1" applyFill="1" applyBorder="1" applyAlignment="1">
      <alignment vertical="top"/>
    </xf>
    <xf numFmtId="41" fontId="23" fillId="4" borderId="133" xfId="0" applyNumberFormat="1" applyFont="1" applyFill="1" applyBorder="1" applyAlignment="1">
      <alignment vertical="top"/>
    </xf>
    <xf numFmtId="0" fontId="7" fillId="8" borderId="109" xfId="0" applyFont="1" applyFill="1" applyBorder="1" applyAlignment="1">
      <alignment horizontal="center" vertical="center" wrapText="1"/>
    </xf>
    <xf numFmtId="0" fontId="14" fillId="8" borderId="136" xfId="0" applyFont="1" applyFill="1" applyBorder="1" applyAlignment="1">
      <alignment horizontal="center" vertical="center" wrapText="1"/>
    </xf>
    <xf numFmtId="0" fontId="14" fillId="8" borderId="109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left"/>
    </xf>
    <xf numFmtId="0" fontId="7" fillId="8" borderId="136" xfId="0" applyFont="1" applyFill="1" applyBorder="1" applyAlignment="1">
      <alignment horizontal="center" vertical="center" wrapText="1"/>
    </xf>
    <xf numFmtId="168" fontId="68" fillId="6" borderId="135" xfId="0" applyNumberFormat="1" applyFont="1" applyFill="1" applyBorder="1" applyAlignment="1">
      <alignment horizontal="center" vertical="center" wrapText="1"/>
    </xf>
    <xf numFmtId="168" fontId="68" fillId="0" borderId="0" xfId="0" applyNumberFormat="1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16" fillId="0" borderId="131" xfId="0" applyFont="1" applyFill="1" applyBorder="1" applyAlignment="1">
      <alignment horizontal="left" vertical="center" wrapText="1" inden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43" fillId="0" borderId="0" xfId="46" applyFont="1" applyBorder="1" applyAlignment="1">
      <alignment horizontal="left" vertical="center" wrapText="1"/>
    </xf>
    <xf numFmtId="0" fontId="0" fillId="0" borderId="0" xfId="0" applyFont="1"/>
    <xf numFmtId="0" fontId="16" fillId="0" borderId="135" xfId="46" applyFont="1" applyFill="1" applyBorder="1" applyAlignment="1">
      <alignment horizontal="center" vertical="center" wrapText="1"/>
    </xf>
    <xf numFmtId="0" fontId="216" fillId="0" borderId="0" xfId="284" applyFont="1" applyBorder="1" applyAlignment="1" applyProtection="1">
      <alignment vertical="center" wrapText="1"/>
    </xf>
    <xf numFmtId="0" fontId="16" fillId="8" borderId="136" xfId="0" applyFont="1" applyFill="1" applyBorder="1" applyAlignment="1">
      <alignment horizontal="center" vertical="center" wrapText="1"/>
    </xf>
    <xf numFmtId="0" fontId="16" fillId="6" borderId="146" xfId="0" applyFont="1" applyFill="1" applyBorder="1" applyAlignment="1">
      <alignment horizontal="left" vertical="center" wrapText="1" indent="1"/>
    </xf>
    <xf numFmtId="0" fontId="16" fillId="0" borderId="146" xfId="0" applyFont="1" applyFill="1" applyBorder="1" applyAlignment="1">
      <alignment horizontal="left" vertical="center" wrapText="1" indent="1"/>
    </xf>
    <xf numFmtId="0" fontId="7" fillId="0" borderId="136" xfId="0" applyFont="1" applyFill="1" applyBorder="1" applyAlignment="1">
      <alignment horizontal="center" vertical="center" wrapText="1"/>
    </xf>
    <xf numFmtId="0" fontId="7" fillId="3" borderId="109" xfId="0" applyFont="1" applyFill="1" applyBorder="1" applyAlignment="1">
      <alignment horizontal="center" vertical="center" wrapText="1"/>
    </xf>
    <xf numFmtId="0" fontId="12" fillId="3" borderId="134" xfId="0" applyFont="1" applyFill="1" applyBorder="1" applyAlignment="1">
      <alignment horizontal="center" vertical="center" wrapText="1"/>
    </xf>
    <xf numFmtId="0" fontId="12" fillId="3" borderId="136" xfId="0" applyFont="1" applyFill="1" applyBorder="1" applyAlignment="1">
      <alignment horizontal="center" vertical="center" wrapText="1"/>
    </xf>
    <xf numFmtId="41" fontId="76" fillId="6" borderId="146" xfId="0" applyNumberFormat="1" applyFont="1" applyFill="1" applyBorder="1" applyAlignment="1">
      <alignment horizontal="center" vertical="center" wrapText="1"/>
    </xf>
    <xf numFmtId="41" fontId="59" fillId="3" borderId="135" xfId="0" applyNumberFormat="1" applyFont="1" applyFill="1" applyBorder="1" applyAlignment="1">
      <alignment horizontal="center" vertical="center" wrapText="1"/>
    </xf>
    <xf numFmtId="0" fontId="7" fillId="0" borderId="135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16" fillId="0" borderId="135" xfId="0" applyFont="1" applyFill="1" applyBorder="1" applyAlignment="1">
      <alignment horizontal="left" vertical="center" wrapText="1" indent="1"/>
    </xf>
    <xf numFmtId="0" fontId="16" fillId="6" borderId="135" xfId="0" applyFont="1" applyFill="1" applyBorder="1" applyAlignment="1">
      <alignment horizontal="left" vertical="center" wrapText="1" indent="1"/>
    </xf>
    <xf numFmtId="0" fontId="16" fillId="6" borderId="135" xfId="0" applyFont="1" applyFill="1" applyBorder="1" applyAlignment="1">
      <alignment horizontal="center" vertical="center" wrapText="1"/>
    </xf>
    <xf numFmtId="0" fontId="16" fillId="0" borderId="135" xfId="0" applyFont="1" applyFill="1" applyBorder="1" applyAlignment="1">
      <alignment horizontal="center" vertical="center" wrapText="1"/>
    </xf>
    <xf numFmtId="0" fontId="30" fillId="0" borderId="135" xfId="0" applyFont="1" applyBorder="1" applyAlignment="1">
      <alignment horizontal="center" vertical="center" wrapText="1"/>
    </xf>
    <xf numFmtId="0" fontId="0" fillId="0" borderId="0" xfId="0" applyFont="1"/>
    <xf numFmtId="0" fontId="16" fillId="6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35" xfId="0" applyFont="1" applyFill="1" applyBorder="1" applyAlignment="1">
      <alignment horizontal="left" vertical="center" wrapText="1" indent="1"/>
    </xf>
    <xf numFmtId="0" fontId="16" fillId="0" borderId="135" xfId="0" applyFont="1" applyFill="1" applyBorder="1" applyAlignment="1">
      <alignment horizontal="center" vertical="center" wrapText="1"/>
    </xf>
    <xf numFmtId="0" fontId="16" fillId="6" borderId="135" xfId="0" applyFont="1" applyFill="1" applyBorder="1" applyAlignment="1">
      <alignment horizontal="left" vertical="center" wrapText="1" indent="1"/>
    </xf>
    <xf numFmtId="0" fontId="16" fillId="6" borderId="135" xfId="0" applyFont="1" applyFill="1" applyBorder="1" applyAlignment="1">
      <alignment horizontal="center" vertical="center" wrapText="1"/>
    </xf>
    <xf numFmtId="0" fontId="43" fillId="0" borderId="0" xfId="46" applyFont="1" applyBorder="1" applyAlignment="1">
      <alignment horizontal="left" vertical="center" wrapText="1"/>
    </xf>
    <xf numFmtId="41" fontId="59" fillId="6" borderId="14" xfId="0" applyNumberFormat="1" applyFont="1" applyFill="1" applyBorder="1" applyAlignment="1">
      <alignment horizontal="center" vertical="center"/>
    </xf>
    <xf numFmtId="0" fontId="225" fillId="0" borderId="0" xfId="0" applyFont="1" applyAlignment="1">
      <alignment vertical="center"/>
    </xf>
    <xf numFmtId="0" fontId="225" fillId="0" borderId="0" xfId="0" applyFont="1" applyBorder="1" applyAlignment="1">
      <alignment vertical="center"/>
    </xf>
    <xf numFmtId="0" fontId="226" fillId="0" borderId="0" xfId="0" applyFont="1" applyAlignment="1">
      <alignment vertical="center"/>
    </xf>
    <xf numFmtId="0" fontId="226" fillId="0" borderId="0" xfId="0" applyFont="1" applyAlignment="1">
      <alignment vertical="center" wrapText="1"/>
    </xf>
    <xf numFmtId="0" fontId="226" fillId="0" borderId="4" xfId="0" applyFont="1" applyBorder="1" applyAlignment="1">
      <alignment vertical="center" wrapText="1"/>
    </xf>
    <xf numFmtId="0" fontId="226" fillId="0" borderId="37" xfId="0" applyFont="1" applyBorder="1" applyAlignment="1">
      <alignment vertical="center" wrapText="1"/>
    </xf>
    <xf numFmtId="0" fontId="226" fillId="0" borderId="4" xfId="0" applyFont="1" applyFill="1" applyBorder="1" applyAlignment="1">
      <alignment vertical="center" wrapText="1"/>
    </xf>
    <xf numFmtId="0" fontId="225" fillId="0" borderId="0" xfId="0" applyFont="1" applyAlignment="1">
      <alignment vertical="center" wrapText="1"/>
    </xf>
    <xf numFmtId="0" fontId="226" fillId="0" borderId="0" xfId="0" applyFont="1" applyFill="1" applyBorder="1" applyAlignment="1">
      <alignment vertical="center" wrapText="1"/>
    </xf>
    <xf numFmtId="0" fontId="226" fillId="0" borderId="37" xfId="0" applyFont="1" applyFill="1" applyBorder="1" applyAlignment="1">
      <alignment vertical="center" wrapText="1"/>
    </xf>
    <xf numFmtId="0" fontId="225" fillId="0" borderId="0" xfId="0" applyFont="1"/>
    <xf numFmtId="0" fontId="226" fillId="0" borderId="0" xfId="0" applyFont="1" applyBorder="1" applyAlignment="1">
      <alignment vertical="center" wrapText="1"/>
    </xf>
    <xf numFmtId="0" fontId="0" fillId="8" borderId="135" xfId="0" applyFill="1" applyBorder="1" applyAlignment="1">
      <alignment horizontal="center" vertical="center" wrapText="1"/>
    </xf>
    <xf numFmtId="0" fontId="33" fillId="8" borderId="135" xfId="0" applyFont="1" applyFill="1" applyBorder="1" applyAlignment="1">
      <alignment horizontal="center" vertical="center" wrapText="1"/>
    </xf>
    <xf numFmtId="0" fontId="12" fillId="0" borderId="135" xfId="0" applyFont="1" applyBorder="1" applyAlignment="1">
      <alignment horizontal="center" vertical="center" wrapText="1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0" fontId="16" fillId="3" borderId="135" xfId="0" applyFont="1" applyFill="1" applyBorder="1" applyAlignment="1">
      <alignment horizontal="center" vertical="center" wrapText="1"/>
    </xf>
    <xf numFmtId="0" fontId="16" fillId="3" borderId="135" xfId="0" applyFont="1" applyFill="1" applyBorder="1" applyAlignment="1">
      <alignment horizontal="left" vertical="center" wrapText="1" indent="1"/>
    </xf>
    <xf numFmtId="0" fontId="18" fillId="7" borderId="60" xfId="0" applyFont="1" applyFill="1" applyBorder="1" applyAlignment="1">
      <alignment vertical="center"/>
    </xf>
    <xf numFmtId="0" fontId="73" fillId="7" borderId="15" xfId="0" applyFont="1" applyFill="1" applyBorder="1" applyAlignment="1">
      <alignment vertical="center"/>
    </xf>
    <xf numFmtId="0" fontId="73" fillId="7" borderId="2" xfId="0" applyFont="1" applyFill="1" applyBorder="1" applyAlignment="1">
      <alignment vertical="center"/>
    </xf>
    <xf numFmtId="0" fontId="14" fillId="0" borderId="135" xfId="0" applyFont="1" applyFill="1" applyBorder="1" applyAlignment="1">
      <alignment horizontal="center" vertical="center" wrapText="1"/>
    </xf>
    <xf numFmtId="0" fontId="12" fillId="0" borderId="135" xfId="0" applyFont="1" applyFill="1" applyBorder="1" applyAlignment="1">
      <alignment horizontal="center" vertical="center" wrapText="1"/>
    </xf>
    <xf numFmtId="168" fontId="68" fillId="6" borderId="195" xfId="0" applyNumberFormat="1" applyFont="1" applyFill="1" applyBorder="1" applyAlignment="1">
      <alignment vertical="center" wrapText="1"/>
    </xf>
    <xf numFmtId="168" fontId="68" fillId="0" borderId="195" xfId="0" applyNumberFormat="1" applyFont="1" applyFill="1" applyBorder="1" applyAlignment="1">
      <alignment vertical="center" wrapText="1"/>
    </xf>
    <xf numFmtId="168" fontId="68" fillId="6" borderId="135" xfId="0" applyNumberFormat="1" applyFont="1" applyFill="1" applyBorder="1" applyAlignment="1">
      <alignment vertical="center" wrapText="1"/>
    </xf>
    <xf numFmtId="168" fontId="68" fillId="0" borderId="135" xfId="0" applyNumberFormat="1" applyFont="1" applyFill="1" applyBorder="1" applyAlignment="1">
      <alignment vertical="center" wrapText="1"/>
    </xf>
    <xf numFmtId="41" fontId="19" fillId="0" borderId="135" xfId="0" applyNumberFormat="1" applyFont="1" applyFill="1" applyBorder="1" applyAlignment="1">
      <alignment horizontal="center" vertical="center" wrapText="1"/>
    </xf>
    <xf numFmtId="168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vertical="center" wrapText="1"/>
    </xf>
    <xf numFmtId="0" fontId="31" fillId="8" borderId="135" xfId="0" applyFont="1" applyFill="1" applyBorder="1" applyAlignment="1">
      <alignment horizontal="center" vertical="center" wrapText="1"/>
    </xf>
    <xf numFmtId="41" fontId="68" fillId="3" borderId="135" xfId="0" applyNumberFormat="1" applyFont="1" applyFill="1" applyBorder="1" applyAlignment="1">
      <alignment horizontal="center" vertical="center" wrapText="1"/>
    </xf>
    <xf numFmtId="0" fontId="227" fillId="0" borderId="135" xfId="0" applyFont="1" applyBorder="1" applyAlignment="1">
      <alignment horizontal="center" vertical="center" wrapText="1"/>
    </xf>
    <xf numFmtId="0" fontId="173" fillId="0" borderId="135" xfId="0" applyFont="1" applyBorder="1" applyAlignment="1">
      <alignment horizontal="center" vertical="center"/>
    </xf>
    <xf numFmtId="0" fontId="228" fillId="0" borderId="135" xfId="0" applyFont="1" applyBorder="1" applyAlignment="1">
      <alignment horizontal="center" vertical="center"/>
    </xf>
    <xf numFmtId="167" fontId="171" fillId="0" borderId="14" xfId="0" applyNumberFormat="1" applyFont="1" applyFill="1" applyBorder="1" applyAlignment="1"/>
    <xf numFmtId="41" fontId="59" fillId="0" borderId="109" xfId="0" applyNumberFormat="1" applyFont="1" applyFill="1" applyBorder="1" applyAlignment="1"/>
    <xf numFmtId="41" fontId="65" fillId="0" borderId="109" xfId="0" applyNumberFormat="1" applyFont="1" applyFill="1" applyBorder="1" applyAlignment="1"/>
    <xf numFmtId="41" fontId="65" fillId="0" borderId="103" xfId="75" applyNumberFormat="1" applyFont="1" applyFill="1" applyBorder="1" applyAlignment="1">
      <alignment horizontal="center" vertical="center" wrapText="1"/>
    </xf>
    <xf numFmtId="41" fontId="59" fillId="0" borderId="103" xfId="75" applyNumberFormat="1" applyFont="1" applyFill="1" applyBorder="1" applyAlignment="1">
      <alignment horizontal="center" vertical="center" wrapText="1"/>
    </xf>
    <xf numFmtId="41" fontId="65" fillId="6" borderId="103" xfId="75" applyNumberFormat="1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0" fillId="0" borderId="0" xfId="0" applyFont="1"/>
    <xf numFmtId="0" fontId="70" fillId="0" borderId="28" xfId="79" applyFont="1" applyBorder="1" applyAlignment="1">
      <alignment vertical="center" wrapText="1"/>
    </xf>
    <xf numFmtId="0" fontId="226" fillId="0" borderId="28" xfId="0" applyFont="1" applyFill="1" applyBorder="1" applyAlignment="1">
      <alignment vertical="center" wrapText="1"/>
    </xf>
    <xf numFmtId="0" fontId="226" fillId="0" borderId="179" xfId="0" applyFont="1" applyFill="1" applyBorder="1" applyAlignment="1">
      <alignment vertical="center" wrapText="1"/>
    </xf>
    <xf numFmtId="0" fontId="217" fillId="0" borderId="179" xfId="284" applyFont="1" applyBorder="1" applyAlignment="1" applyProtection="1">
      <alignment vertical="center" wrapText="1"/>
    </xf>
    <xf numFmtId="0" fontId="7" fillId="8" borderId="0" xfId="0" applyFont="1" applyFill="1" applyBorder="1" applyAlignment="1">
      <alignment horizontal="center" vertical="center" wrapText="1"/>
    </xf>
    <xf numFmtId="41" fontId="12" fillId="0" borderId="103" xfId="0" applyNumberFormat="1" applyFont="1" applyFill="1" applyBorder="1" applyAlignment="1">
      <alignment horizontal="center" vertical="center" wrapText="1"/>
    </xf>
    <xf numFmtId="41" fontId="12" fillId="0" borderId="41" xfId="0" applyNumberFormat="1" applyFont="1" applyFill="1" applyBorder="1" applyAlignment="1">
      <alignment horizontal="center" vertical="center" wrapText="1"/>
    </xf>
    <xf numFmtId="41" fontId="12" fillId="0" borderId="30" xfId="0" applyNumberFormat="1" applyFont="1" applyFill="1" applyBorder="1" applyAlignment="1">
      <alignment horizontal="center" vertical="center" wrapText="1"/>
    </xf>
    <xf numFmtId="41" fontId="12" fillId="0" borderId="125" xfId="0" applyNumberFormat="1" applyFont="1" applyFill="1" applyBorder="1" applyAlignment="1">
      <alignment horizontal="center" vertical="center" wrapText="1"/>
    </xf>
    <xf numFmtId="41" fontId="12" fillId="0" borderId="141" xfId="0" applyNumberFormat="1" applyFont="1" applyFill="1" applyBorder="1" applyAlignment="1">
      <alignment horizontal="center" vertical="center" wrapText="1"/>
    </xf>
    <xf numFmtId="41" fontId="12" fillId="0" borderId="142" xfId="0" applyNumberFormat="1" applyFont="1" applyFill="1" applyBorder="1" applyAlignment="1">
      <alignment horizontal="center" vertical="center" wrapText="1"/>
    </xf>
    <xf numFmtId="41" fontId="12" fillId="6" borderId="41" xfId="0" applyNumberFormat="1" applyFont="1" applyFill="1" applyBorder="1" applyAlignment="1">
      <alignment horizontal="center" vertical="center" wrapText="1"/>
    </xf>
    <xf numFmtId="41" fontId="12" fillId="6" borderId="103" xfId="0" applyNumberFormat="1" applyFont="1" applyFill="1" applyBorder="1" applyAlignment="1">
      <alignment horizontal="center" vertical="center" wrapText="1"/>
    </xf>
    <xf numFmtId="41" fontId="12" fillId="6" borderId="141" xfId="0" applyNumberFormat="1" applyFont="1" applyFill="1" applyBorder="1" applyAlignment="1">
      <alignment horizontal="center" vertical="center" wrapText="1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0" fontId="157" fillId="0" borderId="11" xfId="0" applyFont="1" applyFill="1" applyBorder="1" applyAlignment="1">
      <alignment horizontal="center" vertical="center"/>
    </xf>
    <xf numFmtId="0" fontId="157" fillId="6" borderId="11" xfId="0" applyFont="1" applyFill="1" applyBorder="1" applyAlignment="1">
      <alignment horizontal="center" vertical="center"/>
    </xf>
    <xf numFmtId="0" fontId="12" fillId="8" borderId="29" xfId="0" applyFont="1" applyFill="1" applyBorder="1" applyAlignment="1"/>
    <xf numFmtId="0" fontId="12" fillId="8" borderId="110" xfId="0" applyFont="1" applyFill="1" applyBorder="1" applyAlignment="1"/>
    <xf numFmtId="0" fontId="12" fillId="8" borderId="196" xfId="0" applyFont="1" applyFill="1" applyBorder="1" applyAlignment="1"/>
    <xf numFmtId="0" fontId="12" fillId="8" borderId="29" xfId="0" applyFont="1" applyFill="1" applyBorder="1" applyAlignment="1">
      <alignment vertical="center" wrapText="1"/>
    </xf>
    <xf numFmtId="0" fontId="12" fillId="8" borderId="110" xfId="0" applyFont="1" applyFill="1" applyBorder="1" applyAlignment="1">
      <alignment vertical="center" wrapText="1"/>
    </xf>
    <xf numFmtId="0" fontId="12" fillId="8" borderId="140" xfId="0" applyFont="1" applyFill="1" applyBorder="1" applyAlignment="1">
      <alignment vertical="center" wrapText="1"/>
    </xf>
    <xf numFmtId="0" fontId="16" fillId="8" borderId="140" xfId="0" applyFont="1" applyFill="1" applyBorder="1" applyAlignment="1">
      <alignment vertical="center" wrapText="1"/>
    </xf>
    <xf numFmtId="0" fontId="12" fillId="8" borderId="29" xfId="0" applyFont="1" applyFill="1" applyBorder="1" applyAlignment="1">
      <alignment horizontal="left" vertical="center" wrapText="1"/>
    </xf>
    <xf numFmtId="0" fontId="12" fillId="8" borderId="110" xfId="0" applyFont="1" applyFill="1" applyBorder="1" applyAlignment="1">
      <alignment horizontal="left" vertical="center" wrapText="1"/>
    </xf>
    <xf numFmtId="0" fontId="12" fillId="8" borderId="198" xfId="0" applyFont="1" applyFill="1" applyBorder="1" applyAlignment="1"/>
    <xf numFmtId="0" fontId="12" fillId="8" borderId="39" xfId="0" applyFont="1" applyFill="1" applyBorder="1" applyAlignment="1"/>
    <xf numFmtId="0" fontId="12" fillId="8" borderId="140" xfId="0" applyFont="1" applyFill="1" applyBorder="1" applyAlignment="1">
      <alignment horizontal="left" vertical="center" wrapText="1"/>
    </xf>
    <xf numFmtId="0" fontId="12" fillId="8" borderId="122" xfId="0" applyFont="1" applyFill="1" applyBorder="1" applyAlignment="1">
      <alignment horizontal="left" vertical="center" wrapText="1"/>
    </xf>
    <xf numFmtId="0" fontId="12" fillId="8" borderId="197" xfId="0" applyFont="1" applyFill="1" applyBorder="1" applyAlignment="1">
      <alignment horizontal="left" vertical="center" wrapText="1"/>
    </xf>
    <xf numFmtId="0" fontId="12" fillId="8" borderId="196" xfId="0" applyFont="1" applyFill="1" applyBorder="1" applyAlignment="1">
      <alignment horizontal="left" vertical="center" wrapText="1"/>
    </xf>
    <xf numFmtId="0" fontId="12" fillId="8" borderId="149" xfId="0" applyFont="1" applyFill="1" applyBorder="1" applyAlignment="1">
      <alignment horizontal="left"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110" xfId="0" applyFont="1" applyFill="1" applyBorder="1" applyAlignment="1">
      <alignment horizontal="left" vertical="center" wrapText="1"/>
    </xf>
    <xf numFmtId="0" fontId="12" fillId="3" borderId="149" xfId="0" applyFont="1" applyFill="1" applyBorder="1" applyAlignment="1">
      <alignment horizontal="left" vertical="center" wrapText="1"/>
    </xf>
    <xf numFmtId="0" fontId="12" fillId="0" borderId="198" xfId="0" applyFont="1" applyBorder="1" applyAlignment="1">
      <alignment horizontal="left"/>
    </xf>
    <xf numFmtId="0" fontId="19" fillId="0" borderId="0" xfId="1" applyFont="1" applyFill="1" applyAlignment="1" applyProtection="1">
      <alignment horizontal="center" vertical="center"/>
      <protection hidden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1" fontId="12" fillId="0" borderId="41" xfId="0" applyNumberFormat="1" applyFont="1" applyFill="1" applyBorder="1" applyAlignment="1">
      <alignment horizontal="center" vertical="center"/>
    </xf>
    <xf numFmtId="41" fontId="12" fillId="6" borderId="41" xfId="0" applyNumberFormat="1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/>
    </xf>
    <xf numFmtId="41" fontId="12" fillId="0" borderId="30" xfId="0" applyNumberFormat="1" applyFont="1" applyFill="1" applyBorder="1" applyAlignment="1">
      <alignment horizontal="center" vertical="center"/>
    </xf>
    <xf numFmtId="41" fontId="12" fillId="0" borderId="103" xfId="0" applyNumberFormat="1" applyFont="1" applyFill="1" applyBorder="1" applyAlignment="1">
      <alignment horizontal="center" vertical="center"/>
    </xf>
    <xf numFmtId="41" fontId="12" fillId="6" borderId="103" xfId="0" applyNumberFormat="1" applyFont="1" applyFill="1" applyBorder="1" applyAlignment="1">
      <alignment horizontal="center" vertical="center"/>
    </xf>
    <xf numFmtId="0" fontId="12" fillId="0" borderId="103" xfId="0" applyFont="1" applyFill="1" applyBorder="1" applyAlignment="1">
      <alignment horizontal="center" vertical="center"/>
    </xf>
    <xf numFmtId="41" fontId="12" fillId="0" borderId="125" xfId="0" applyNumberFormat="1" applyFont="1" applyFill="1" applyBorder="1" applyAlignment="1">
      <alignment horizontal="center" vertical="center"/>
    </xf>
    <xf numFmtId="0" fontId="12" fillId="6" borderId="103" xfId="0" applyFont="1" applyFill="1" applyBorder="1" applyAlignment="1">
      <alignment horizontal="center" vertical="center"/>
    </xf>
    <xf numFmtId="0" fontId="12" fillId="0" borderId="125" xfId="0" applyFont="1" applyFill="1" applyBorder="1" applyAlignment="1">
      <alignment horizontal="center" vertical="center"/>
    </xf>
    <xf numFmtId="41" fontId="12" fillId="0" borderId="11" xfId="0" applyNumberFormat="1" applyFont="1" applyFill="1" applyBorder="1" applyAlignment="1">
      <alignment horizontal="center" vertical="center"/>
    </xf>
    <xf numFmtId="41" fontId="12" fillId="6" borderId="11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41" fontId="12" fillId="0" borderId="46" xfId="0" applyNumberFormat="1" applyFont="1" applyFill="1" applyBorder="1" applyAlignment="1">
      <alignment horizontal="center" vertical="center"/>
    </xf>
    <xf numFmtId="0" fontId="12" fillId="0" borderId="141" xfId="0" applyFont="1" applyFill="1" applyBorder="1" applyAlignment="1">
      <alignment horizontal="center" vertical="center"/>
    </xf>
    <xf numFmtId="41" fontId="12" fillId="6" borderId="141" xfId="0" applyNumberFormat="1" applyFont="1" applyFill="1" applyBorder="1" applyAlignment="1">
      <alignment horizontal="center" vertical="center"/>
    </xf>
    <xf numFmtId="41" fontId="12" fillId="0" borderId="141" xfId="0" applyNumberFormat="1" applyFont="1" applyFill="1" applyBorder="1" applyAlignment="1">
      <alignment horizontal="center" vertical="center"/>
    </xf>
    <xf numFmtId="41" fontId="12" fillId="0" borderId="142" xfId="0" applyNumberFormat="1" applyFont="1" applyFill="1" applyBorder="1" applyAlignment="1">
      <alignment horizontal="center" vertical="center"/>
    </xf>
    <xf numFmtId="0" fontId="12" fillId="0" borderId="141" xfId="0" applyNumberFormat="1" applyFont="1" applyFill="1" applyBorder="1" applyAlignment="1">
      <alignment horizontal="center" vertical="center"/>
    </xf>
    <xf numFmtId="0" fontId="12" fillId="6" borderId="141" xfId="0" applyFont="1" applyFill="1" applyBorder="1" applyAlignment="1">
      <alignment horizontal="center" vertical="center"/>
    </xf>
    <xf numFmtId="0" fontId="12" fillId="0" borderId="142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 wrapText="1"/>
    </xf>
    <xf numFmtId="0" fontId="12" fillId="6" borderId="41" xfId="0" applyFont="1" applyFill="1" applyBorder="1" applyAlignment="1">
      <alignment horizontal="center" vertical="center"/>
    </xf>
    <xf numFmtId="0" fontId="12" fillId="0" borderId="103" xfId="0" applyFont="1" applyFill="1" applyBorder="1" applyAlignment="1">
      <alignment horizontal="center" vertical="center" wrapText="1"/>
    </xf>
    <xf numFmtId="0" fontId="12" fillId="0" borderId="141" xfId="0" applyFont="1" applyFill="1" applyBorder="1" applyAlignment="1">
      <alignment horizontal="center" vertical="center" wrapText="1"/>
    </xf>
    <xf numFmtId="0" fontId="12" fillId="6" borderId="41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125" xfId="0" applyFont="1" applyFill="1" applyBorder="1" applyAlignment="1">
      <alignment horizontal="center" vertical="center" wrapText="1"/>
    </xf>
    <xf numFmtId="0" fontId="12" fillId="6" borderId="141" xfId="0" applyFont="1" applyFill="1" applyBorder="1" applyAlignment="1">
      <alignment horizontal="center" vertical="center" wrapText="1"/>
    </xf>
    <xf numFmtId="0" fontId="12" fillId="0" borderId="142" xfId="0" applyFont="1" applyFill="1" applyBorder="1" applyAlignment="1">
      <alignment horizontal="center" vertical="center" wrapText="1"/>
    </xf>
    <xf numFmtId="0" fontId="12" fillId="0" borderId="199" xfId="0" applyFont="1" applyFill="1" applyBorder="1" applyAlignment="1">
      <alignment horizontal="center" vertical="center"/>
    </xf>
    <xf numFmtId="41" fontId="12" fillId="6" borderId="199" xfId="0" applyNumberFormat="1" applyFont="1" applyFill="1" applyBorder="1" applyAlignment="1">
      <alignment horizontal="center" vertical="center"/>
    </xf>
    <xf numFmtId="0" fontId="12" fillId="6" borderId="199" xfId="0" applyFont="1" applyFill="1" applyBorder="1" applyAlignment="1">
      <alignment horizontal="center" vertical="center" wrapText="1"/>
    </xf>
    <xf numFmtId="0" fontId="12" fillId="0" borderId="199" xfId="0" applyFont="1" applyFill="1" applyBorder="1" applyAlignment="1">
      <alignment horizontal="center" vertical="center" wrapText="1"/>
    </xf>
    <xf numFmtId="0" fontId="12" fillId="0" borderId="200" xfId="0" applyFont="1" applyFill="1" applyBorder="1" applyAlignment="1">
      <alignment horizontal="center" vertical="center" wrapText="1"/>
    </xf>
    <xf numFmtId="0" fontId="12" fillId="0" borderId="101" xfId="0" applyFont="1" applyFill="1" applyBorder="1" applyAlignment="1">
      <alignment horizontal="center" vertical="center"/>
    </xf>
    <xf numFmtId="41" fontId="12" fillId="6" borderId="101" xfId="0" applyNumberFormat="1" applyFont="1" applyFill="1" applyBorder="1" applyAlignment="1">
      <alignment horizontal="center" vertical="center"/>
    </xf>
    <xf numFmtId="0" fontId="12" fillId="6" borderId="101" xfId="0" applyFont="1" applyFill="1" applyBorder="1" applyAlignment="1">
      <alignment horizontal="center" vertical="center" wrapText="1"/>
    </xf>
    <xf numFmtId="0" fontId="12" fillId="0" borderId="101" xfId="0" applyFont="1" applyFill="1" applyBorder="1" applyAlignment="1">
      <alignment horizontal="center" vertical="center" wrapText="1"/>
    </xf>
    <xf numFmtId="0" fontId="12" fillId="0" borderId="201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/>
    </xf>
    <xf numFmtId="0" fontId="12" fillId="6" borderId="199" xfId="0" applyFont="1" applyFill="1" applyBorder="1" applyAlignment="1">
      <alignment horizontal="center" vertical="center"/>
    </xf>
    <xf numFmtId="0" fontId="12" fillId="0" borderId="200" xfId="0" applyFont="1" applyFill="1" applyBorder="1" applyAlignment="1">
      <alignment horizontal="center" vertical="center"/>
    </xf>
    <xf numFmtId="0" fontId="190" fillId="0" borderId="0" xfId="284" applyFont="1" applyFill="1" applyAlignment="1" applyProtection="1">
      <alignment horizontal="left" vertical="center"/>
      <protection hidden="1"/>
    </xf>
    <xf numFmtId="0" fontId="11" fillId="0" borderId="0" xfId="1" applyFont="1" applyFill="1" applyAlignment="1" applyProtection="1">
      <alignment horizontal="left" vertical="center"/>
      <protection hidden="1"/>
    </xf>
    <xf numFmtId="41" fontId="80" fillId="0" borderId="109" xfId="69" applyNumberFormat="1" applyFont="1" applyFill="1" applyBorder="1" applyAlignment="1">
      <alignment vertical="center" wrapText="1"/>
    </xf>
    <xf numFmtId="41" fontId="59" fillId="0" borderId="35" xfId="0" quotePrefix="1" applyNumberFormat="1" applyFont="1" applyFill="1" applyBorder="1" applyAlignment="1">
      <alignment horizontal="center" vertical="center" wrapText="1"/>
    </xf>
    <xf numFmtId="41" fontId="59" fillId="0" borderId="9" xfId="0" quotePrefix="1" applyNumberFormat="1" applyFon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41" fontId="59" fillId="0" borderId="5" xfId="69" quotePrefix="1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/>
    <xf numFmtId="0" fontId="11" fillId="0" borderId="0" xfId="0" applyFont="1" applyFill="1" applyBorder="1" applyAlignment="1">
      <alignment horizontal="left"/>
    </xf>
    <xf numFmtId="0" fontId="18" fillId="3" borderId="0" xfId="69" applyFont="1" applyFill="1" applyBorder="1" applyAlignment="1" applyProtection="1">
      <alignment vertical="center" wrapText="1"/>
      <protection hidden="1"/>
    </xf>
    <xf numFmtId="0" fontId="46" fillId="3" borderId="0" xfId="69" applyFont="1" applyFill="1" applyBorder="1" applyAlignment="1" applyProtection="1">
      <protection hidden="1"/>
    </xf>
    <xf numFmtId="41" fontId="59" fillId="3" borderId="0" xfId="69" applyNumberFormat="1" applyFont="1" applyFill="1" applyBorder="1" applyAlignment="1">
      <alignment vertical="center" wrapText="1"/>
    </xf>
    <xf numFmtId="0" fontId="16" fillId="0" borderId="103" xfId="69" applyNumberFormat="1" applyFont="1" applyFill="1" applyBorder="1" applyAlignment="1" applyProtection="1">
      <alignment horizontal="center" vertical="center" wrapText="1"/>
      <protection hidden="1"/>
    </xf>
    <xf numFmtId="41" fontId="59" fillId="6" borderId="103" xfId="69" applyNumberFormat="1" applyFont="1" applyFill="1" applyBorder="1" applyAlignment="1">
      <alignment vertical="center" wrapText="1"/>
    </xf>
    <xf numFmtId="0" fontId="61" fillId="0" borderId="71" xfId="76" applyFont="1" applyBorder="1" applyAlignment="1">
      <alignment horizontal="center" vertical="center" wrapText="1"/>
    </xf>
    <xf numFmtId="41" fontId="181" fillId="6" borderId="9" xfId="0" applyNumberFormat="1" applyFont="1" applyFill="1" applyBorder="1" applyAlignment="1">
      <alignment horizontal="center" vertical="center"/>
    </xf>
    <xf numFmtId="41" fontId="181" fillId="6" borderId="146" xfId="0" applyNumberFormat="1" applyFont="1" applyFill="1" applyBorder="1" applyAlignment="1">
      <alignment horizontal="center" vertical="center"/>
    </xf>
    <xf numFmtId="0" fontId="211" fillId="0" borderId="0" xfId="79" applyFont="1" applyBorder="1" applyAlignment="1">
      <alignment vertical="center" wrapText="1"/>
    </xf>
    <xf numFmtId="0" fontId="18" fillId="0" borderId="104" xfId="69" applyFont="1" applyFill="1" applyBorder="1" applyAlignment="1" applyProtection="1">
      <alignment vertical="center" wrapText="1"/>
      <protection hidden="1"/>
    </xf>
    <xf numFmtId="0" fontId="18" fillId="0" borderId="108" xfId="69" applyFont="1" applyFill="1" applyBorder="1" applyAlignment="1" applyProtection="1">
      <alignment vertical="center" wrapText="1"/>
      <protection hidden="1"/>
    </xf>
    <xf numFmtId="0" fontId="18" fillId="0" borderId="104" xfId="69" applyFont="1" applyFill="1" applyBorder="1" applyAlignment="1" applyProtection="1">
      <alignment vertical="center"/>
      <protection hidden="1"/>
    </xf>
    <xf numFmtId="0" fontId="18" fillId="0" borderId="108" xfId="69" applyFont="1" applyFill="1" applyBorder="1" applyAlignment="1" applyProtection="1">
      <alignment vertical="center"/>
      <protection hidden="1"/>
    </xf>
    <xf numFmtId="0" fontId="151" fillId="0" borderId="104" xfId="69" applyFont="1" applyFill="1" applyBorder="1" applyAlignment="1" applyProtection="1">
      <alignment wrapText="1"/>
      <protection hidden="1"/>
    </xf>
    <xf numFmtId="0" fontId="151" fillId="0" borderId="69" xfId="69" applyFont="1" applyFill="1" applyBorder="1" applyAlignment="1" applyProtection="1">
      <alignment wrapText="1"/>
      <protection hidden="1"/>
    </xf>
    <xf numFmtId="0" fontId="151" fillId="0" borderId="108" xfId="69" applyFont="1" applyFill="1" applyBorder="1" applyAlignment="1" applyProtection="1">
      <alignment wrapText="1"/>
      <protection hidden="1"/>
    </xf>
    <xf numFmtId="14" fontId="59" fillId="0" borderId="0" xfId="1" applyNumberFormat="1" applyFont="1" applyBorder="1" applyAlignment="1" applyProtection="1">
      <protection hidden="1"/>
    </xf>
    <xf numFmtId="0" fontId="0" fillId="0" borderId="0" xfId="0" applyFont="1" applyBorder="1" applyAlignment="1">
      <alignment vertical="center" wrapText="1"/>
    </xf>
    <xf numFmtId="0" fontId="18" fillId="0" borderId="71" xfId="69" applyFont="1" applyFill="1" applyBorder="1" applyAlignment="1" applyProtection="1">
      <alignment horizontal="center" vertical="center" wrapText="1"/>
      <protection hidden="1"/>
    </xf>
    <xf numFmtId="0" fontId="18" fillId="0" borderId="72" xfId="69" applyFont="1" applyFill="1" applyBorder="1" applyAlignment="1" applyProtection="1">
      <alignment vertical="center" wrapText="1"/>
      <protection hidden="1"/>
    </xf>
    <xf numFmtId="49" fontId="15" fillId="0" borderId="72" xfId="69" applyNumberFormat="1" applyFont="1" applyFill="1" applyBorder="1" applyAlignment="1" applyProtection="1">
      <alignment vertical="center"/>
      <protection hidden="1"/>
    </xf>
    <xf numFmtId="0" fontId="15" fillId="0" borderId="72" xfId="69" applyFont="1" applyFill="1" applyBorder="1" applyAlignment="1" applyProtection="1">
      <alignment vertical="center"/>
      <protection hidden="1"/>
    </xf>
    <xf numFmtId="0" fontId="11" fillId="0" borderId="0" xfId="13" applyFont="1" applyFill="1" applyAlignment="1">
      <alignment vertical="center" wrapText="1"/>
    </xf>
    <xf numFmtId="0" fontId="12" fillId="8" borderId="72" xfId="0" applyFont="1" applyFill="1" applyBorder="1" applyAlignment="1">
      <alignment horizontal="center" vertical="center" wrapText="1"/>
    </xf>
    <xf numFmtId="41" fontId="59" fillId="0" borderId="146" xfId="0" applyNumberFormat="1" applyFont="1" applyFill="1" applyBorder="1" applyAlignment="1">
      <alignment horizontal="center" vertical="center"/>
    </xf>
    <xf numFmtId="0" fontId="14" fillId="8" borderId="70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0" fillId="0" borderId="0" xfId="0" applyFont="1"/>
    <xf numFmtId="0" fontId="7" fillId="8" borderId="69" xfId="0" applyFont="1" applyFill="1" applyBorder="1" applyAlignment="1">
      <alignment horizontal="center" vertical="center" wrapText="1"/>
    </xf>
    <xf numFmtId="167" fontId="171" fillId="6" borderId="146" xfId="0" applyNumberFormat="1" applyFont="1" applyFill="1" applyBorder="1" applyAlignment="1">
      <alignment horizontal="center" vertical="center"/>
    </xf>
    <xf numFmtId="41" fontId="68" fillId="6" borderId="17" xfId="0" applyNumberFormat="1" applyFont="1" applyFill="1" applyBorder="1" applyAlignment="1">
      <alignment horizontal="center" vertical="center" wrapText="1"/>
    </xf>
    <xf numFmtId="41" fontId="68" fillId="0" borderId="17" xfId="0" applyNumberFormat="1" applyFont="1" applyFill="1" applyBorder="1" applyAlignment="1">
      <alignment horizontal="center" vertical="center" wrapText="1"/>
    </xf>
    <xf numFmtId="41" fontId="68" fillId="6" borderId="71" xfId="0" applyNumberFormat="1" applyFont="1" applyFill="1" applyBorder="1" applyAlignment="1">
      <alignment horizontal="center" vertical="center" wrapText="1"/>
    </xf>
    <xf numFmtId="41" fontId="68" fillId="0" borderId="71" xfId="0" applyNumberFormat="1" applyFont="1" applyFill="1" applyBorder="1" applyAlignment="1">
      <alignment horizontal="center" vertical="center" wrapText="1"/>
    </xf>
    <xf numFmtId="0" fontId="7" fillId="0" borderId="71" xfId="0" applyFont="1" applyFill="1" applyBorder="1"/>
    <xf numFmtId="41" fontId="63" fillId="0" borderId="71" xfId="0" applyNumberFormat="1" applyFont="1" applyFill="1" applyBorder="1"/>
    <xf numFmtId="41" fontId="63" fillId="6" borderId="71" xfId="0" applyNumberFormat="1" applyFont="1" applyFill="1" applyBorder="1"/>
    <xf numFmtId="0" fontId="14" fillId="8" borderId="69" xfId="0" applyFont="1" applyFill="1" applyBorder="1" applyAlignment="1">
      <alignment horizontal="center" vertical="center" wrapText="1"/>
    </xf>
    <xf numFmtId="167" fontId="171" fillId="6" borderId="143" xfId="0" applyNumberFormat="1" applyFont="1" applyFill="1" applyBorder="1" applyAlignment="1">
      <alignment horizontal="center" vertical="center"/>
    </xf>
    <xf numFmtId="167" fontId="171" fillId="0" borderId="35" xfId="0" applyNumberFormat="1" applyFont="1" applyFill="1" applyBorder="1" applyAlignment="1">
      <alignment horizontal="center" vertical="center"/>
    </xf>
    <xf numFmtId="167" fontId="171" fillId="0" borderId="18" xfId="0" applyNumberFormat="1" applyFont="1" applyFill="1" applyBorder="1" applyAlignment="1"/>
    <xf numFmtId="41" fontId="59" fillId="0" borderId="15" xfId="0" applyNumberFormat="1" applyFont="1" applyFill="1" applyBorder="1" applyAlignment="1">
      <alignment wrapText="1"/>
    </xf>
    <xf numFmtId="41" fontId="59" fillId="6" borderId="32" xfId="0" applyNumberFormat="1" applyFont="1" applyFill="1" applyBorder="1" applyAlignment="1">
      <alignment horizontal="center" vertical="center"/>
    </xf>
    <xf numFmtId="41" fontId="59" fillId="0" borderId="193" xfId="0" applyNumberFormat="1" applyFont="1" applyFill="1" applyBorder="1" applyAlignment="1">
      <alignment horizontal="center" vertical="center"/>
    </xf>
    <xf numFmtId="41" fontId="59" fillId="6" borderId="143" xfId="0" applyNumberFormat="1" applyFont="1" applyFill="1" applyBorder="1" applyAlignment="1">
      <alignment horizontal="center" vertical="center"/>
    </xf>
    <xf numFmtId="41" fontId="59" fillId="0" borderId="35" xfId="0" applyNumberFormat="1" applyFont="1" applyFill="1" applyBorder="1" applyAlignment="1">
      <alignment horizontal="center" vertical="center"/>
    </xf>
    <xf numFmtId="0" fontId="17" fillId="7" borderId="71" xfId="0" applyFont="1" applyFill="1" applyBorder="1" applyAlignment="1">
      <alignment horizontal="left" vertical="center" wrapText="1"/>
    </xf>
    <xf numFmtId="167" fontId="171" fillId="6" borderId="71" xfId="0" applyNumberFormat="1" applyFont="1" applyFill="1" applyBorder="1" applyAlignment="1">
      <alignment horizontal="center" vertical="center"/>
    </xf>
    <xf numFmtId="167" fontId="171" fillId="0" borderId="71" xfId="0" applyNumberFormat="1" applyFont="1" applyFill="1" applyBorder="1" applyAlignment="1"/>
    <xf numFmtId="41" fontId="59" fillId="0" borderId="71" xfId="0" applyNumberFormat="1" applyFont="1" applyFill="1" applyBorder="1" applyAlignment="1">
      <alignment wrapText="1"/>
    </xf>
    <xf numFmtId="0" fontId="11" fillId="7" borderId="71" xfId="0" applyFont="1" applyFill="1" applyBorder="1"/>
    <xf numFmtId="0" fontId="0" fillId="7" borderId="71" xfId="0" applyFill="1" applyBorder="1"/>
    <xf numFmtId="167" fontId="171" fillId="0" borderId="14" xfId="0" applyNumberFormat="1" applyFont="1" applyFill="1" applyBorder="1" applyAlignment="1">
      <alignment horizontal="center" vertical="center"/>
    </xf>
    <xf numFmtId="41" fontId="65" fillId="0" borderId="109" xfId="0" applyNumberFormat="1" applyFont="1" applyFill="1" applyBorder="1" applyAlignment="1">
      <alignment horizontal="center" vertical="center"/>
    </xf>
    <xf numFmtId="0" fontId="65" fillId="0" borderId="71" xfId="0" applyFont="1" applyFill="1" applyBorder="1"/>
    <xf numFmtId="41" fontId="0" fillId="6" borderId="71" xfId="0" applyNumberFormat="1" applyFill="1" applyBorder="1"/>
    <xf numFmtId="41" fontId="0" fillId="0" borderId="71" xfId="0" applyNumberFormat="1" applyFill="1" applyBorder="1"/>
    <xf numFmtId="0" fontId="12" fillId="8" borderId="59" xfId="0" applyFont="1" applyFill="1" applyBorder="1" applyAlignment="1">
      <alignment horizontal="center" vertical="center" wrapText="1"/>
    </xf>
    <xf numFmtId="0" fontId="16" fillId="0" borderId="71" xfId="69" applyFont="1" applyFill="1" applyBorder="1" applyAlignment="1" applyProtection="1">
      <alignment horizontal="center" wrapText="1"/>
      <protection hidden="1"/>
    </xf>
    <xf numFmtId="0" fontId="46" fillId="0" borderId="135" xfId="69" applyFont="1" applyBorder="1" applyAlignment="1" applyProtection="1">
      <alignment horizontal="center" wrapText="1"/>
      <protection hidden="1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0" fontId="135" fillId="0" borderId="103" xfId="60" applyFont="1" applyBorder="1"/>
    <xf numFmtId="0" fontId="62" fillId="0" borderId="103" xfId="60" applyBorder="1"/>
    <xf numFmtId="179" fontId="179" fillId="0" borderId="59" xfId="0" applyNumberFormat="1" applyFont="1" applyFill="1" applyBorder="1" applyAlignment="1">
      <alignment vertical="top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41" fontId="59" fillId="6" borderId="103" xfId="0" applyNumberFormat="1" applyFont="1" applyFill="1" applyBorder="1" applyAlignment="1">
      <alignment horizontal="center" vertical="center" wrapText="1"/>
    </xf>
    <xf numFmtId="41" fontId="59" fillId="0" borderId="103" xfId="0" applyNumberFormat="1" applyFon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0" xfId="0" applyFont="1"/>
    <xf numFmtId="0" fontId="12" fillId="8" borderId="138" xfId="0" applyFont="1" applyFill="1" applyBorder="1" applyAlignment="1"/>
    <xf numFmtId="0" fontId="12" fillId="8" borderId="138" xfId="0" applyFont="1" applyFill="1" applyBorder="1" applyAlignment="1">
      <alignment vertical="center" wrapText="1"/>
    </xf>
    <xf numFmtId="0" fontId="12" fillId="8" borderId="138" xfId="0" applyFont="1" applyFill="1" applyBorder="1" applyAlignment="1">
      <alignment horizontal="left" vertical="center" wrapText="1"/>
    </xf>
    <xf numFmtId="0" fontId="12" fillId="0" borderId="138" xfId="0" applyFont="1" applyFill="1" applyBorder="1" applyAlignment="1">
      <alignment horizontal="left" vertical="center" wrapText="1"/>
    </xf>
    <xf numFmtId="9" fontId="12" fillId="0" borderId="41" xfId="14" applyFont="1" applyFill="1" applyBorder="1" applyAlignment="1">
      <alignment horizontal="center" vertical="center"/>
    </xf>
    <xf numFmtId="0" fontId="0" fillId="0" borderId="0" xfId="0" applyFont="1"/>
    <xf numFmtId="169" fontId="229" fillId="3" borderId="103" xfId="118" applyNumberFormat="1" applyFont="1" applyFill="1" applyBorder="1" applyAlignment="1">
      <alignment horizontal="center" vertical="center" wrapText="1"/>
    </xf>
    <xf numFmtId="41" fontId="59" fillId="0" borderId="25" xfId="0" applyNumberFormat="1" applyFont="1" applyFill="1" applyBorder="1" applyAlignment="1">
      <alignment horizontal="center" vertical="center"/>
    </xf>
    <xf numFmtId="0" fontId="124" fillId="0" borderId="103" xfId="284" applyBorder="1" applyAlignment="1" applyProtection="1"/>
    <xf numFmtId="0" fontId="16" fillId="0" borderId="135" xfId="0" applyFont="1" applyFill="1" applyBorder="1" applyAlignment="1">
      <alignment horizontal="center" vertical="center" wrapText="1"/>
    </xf>
    <xf numFmtId="0" fontId="16" fillId="0" borderId="135" xfId="0" applyFont="1" applyFill="1" applyBorder="1" applyAlignment="1">
      <alignment horizontal="left" vertical="center" wrapText="1" indent="1"/>
    </xf>
    <xf numFmtId="0" fontId="30" fillId="8" borderId="71" xfId="0" applyFont="1" applyFill="1" applyBorder="1" applyAlignment="1">
      <alignment horizontal="center" vertical="center" wrapText="1"/>
    </xf>
    <xf numFmtId="0" fontId="180" fillId="0" borderId="0" xfId="284" applyFont="1" applyAlignment="1" applyProtection="1">
      <alignment horizontal="left"/>
      <protection hidden="1"/>
    </xf>
    <xf numFmtId="0" fontId="0" fillId="0" borderId="0" xfId="0" applyFont="1"/>
    <xf numFmtId="0" fontId="12" fillId="6" borderId="72" xfId="0" applyFont="1" applyFill="1" applyBorder="1" applyAlignment="1">
      <alignment horizontal="center" vertical="center" wrapText="1"/>
    </xf>
    <xf numFmtId="0" fontId="12" fillId="0" borderId="72" xfId="0" applyFont="1" applyBorder="1" applyAlignment="1"/>
    <xf numFmtId="41" fontId="7" fillId="0" borderId="72" xfId="0" applyNumberFormat="1" applyFont="1" applyFill="1" applyBorder="1" applyAlignment="1">
      <alignment vertical="top"/>
    </xf>
    <xf numFmtId="41" fontId="23" fillId="8" borderId="72" xfId="0" applyNumberFormat="1" applyFont="1" applyFill="1" applyBorder="1"/>
    <xf numFmtId="41" fontId="0" fillId="0" borderId="72" xfId="0" applyNumberFormat="1" applyFont="1" applyFill="1" applyBorder="1" applyAlignment="1">
      <alignment vertical="top"/>
    </xf>
    <xf numFmtId="41" fontId="7" fillId="8" borderId="72" xfId="0" applyNumberFormat="1" applyFont="1" applyFill="1" applyBorder="1"/>
    <xf numFmtId="0" fontId="7" fillId="0" borderId="103" xfId="0" applyFont="1" applyFill="1" applyBorder="1"/>
    <xf numFmtId="0" fontId="7" fillId="8" borderId="103" xfId="0" applyFont="1" applyFill="1" applyBorder="1"/>
    <xf numFmtId="0" fontId="0" fillId="0" borderId="103" xfId="0" applyFont="1" applyFill="1" applyBorder="1"/>
    <xf numFmtId="0" fontId="15" fillId="0" borderId="0" xfId="13" applyFont="1" applyFill="1" applyAlignment="1">
      <alignment vertical="center" wrapText="1"/>
    </xf>
    <xf numFmtId="168" fontId="68" fillId="6" borderId="103" xfId="0" applyNumberFormat="1" applyFont="1" applyFill="1" applyBorder="1" applyAlignment="1">
      <alignment horizontal="center" vertical="center" wrapText="1"/>
    </xf>
    <xf numFmtId="0" fontId="31" fillId="3" borderId="0" xfId="0" applyFont="1" applyFill="1" applyBorder="1" applyAlignment="1"/>
    <xf numFmtId="0" fontId="16" fillId="0" borderId="34" xfId="0" applyFont="1" applyFill="1" applyBorder="1" applyAlignment="1">
      <alignment horizontal="left" vertical="center" wrapText="1" indent="1"/>
    </xf>
    <xf numFmtId="0" fontId="7" fillId="0" borderId="7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167" fontId="16" fillId="0" borderId="70" xfId="0" applyNumberFormat="1" applyFont="1" applyFill="1" applyBorder="1" applyAlignment="1">
      <alignment horizontal="left" vertical="center" wrapText="1"/>
    </xf>
    <xf numFmtId="167" fontId="16" fillId="6" borderId="170" xfId="0" applyNumberFormat="1" applyFont="1" applyFill="1" applyBorder="1" applyAlignment="1">
      <alignment horizontal="left" vertical="center" wrapText="1"/>
    </xf>
    <xf numFmtId="167" fontId="16" fillId="0" borderId="171" xfId="0" applyNumberFormat="1" applyFont="1" applyFill="1" applyBorder="1" applyAlignment="1">
      <alignment horizontal="left" vertical="center" wrapText="1"/>
    </xf>
    <xf numFmtId="167" fontId="16" fillId="6" borderId="171" xfId="0" applyNumberFormat="1" applyFont="1" applyFill="1" applyBorder="1" applyAlignment="1">
      <alignment horizontal="left" vertical="center" wrapText="1"/>
    </xf>
    <xf numFmtId="167" fontId="16" fillId="6" borderId="104" xfId="0" applyNumberFormat="1" applyFont="1" applyFill="1" applyBorder="1" applyAlignment="1">
      <alignment horizontal="left" vertical="center" wrapText="1"/>
    </xf>
    <xf numFmtId="167" fontId="16" fillId="0" borderId="15" xfId="0" applyNumberFormat="1" applyFont="1" applyFill="1" applyBorder="1" applyAlignment="1">
      <alignment horizontal="left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1" fontId="30" fillId="6" borderId="59" xfId="80" applyNumberFormat="1" applyFont="1" applyFill="1" applyBorder="1" applyAlignment="1">
      <alignment horizontal="left" vertical="center" indent="1"/>
    </xf>
    <xf numFmtId="1" fontId="24" fillId="6" borderId="59" xfId="80" applyNumberFormat="1" applyFont="1" applyFill="1" applyBorder="1" applyAlignment="1">
      <alignment horizontal="left" vertical="center" indent="1"/>
    </xf>
    <xf numFmtId="1" fontId="24" fillId="0" borderId="59" xfId="80" applyNumberFormat="1" applyFont="1" applyBorder="1" applyAlignment="1">
      <alignment horizontal="left" vertical="center" indent="1"/>
    </xf>
    <xf numFmtId="1" fontId="24" fillId="0" borderId="103" xfId="80" applyNumberFormat="1" applyFont="1" applyBorder="1" applyAlignment="1">
      <alignment horizontal="left" indent="1"/>
    </xf>
    <xf numFmtId="1" fontId="31" fillId="6" borderId="59" xfId="77" applyNumberFormat="1" applyFont="1" applyFill="1" applyBorder="1" applyAlignment="1">
      <alignment horizontal="center"/>
    </xf>
    <xf numFmtId="1" fontId="31" fillId="0" borderId="59" xfId="77" applyNumberFormat="1" applyFont="1" applyFill="1" applyBorder="1" applyAlignment="1">
      <alignment horizontal="center"/>
    </xf>
    <xf numFmtId="1" fontId="7" fillId="0" borderId="103" xfId="80" applyNumberFormat="1" applyFont="1" applyBorder="1" applyAlignment="1">
      <alignment horizontal="center"/>
    </xf>
    <xf numFmtId="1" fontId="18" fillId="6" borderId="103" xfId="46" applyNumberFormat="1" applyFont="1" applyFill="1" applyBorder="1" applyAlignment="1">
      <alignment vertical="center"/>
    </xf>
    <xf numFmtId="1" fontId="18" fillId="0" borderId="103" xfId="46" applyNumberFormat="1" applyFont="1" applyBorder="1"/>
    <xf numFmtId="1" fontId="46" fillId="6" borderId="103" xfId="46" applyNumberFormat="1" applyFont="1" applyFill="1" applyBorder="1"/>
    <xf numFmtId="1" fontId="46" fillId="0" borderId="103" xfId="46" applyNumberFormat="1" applyFont="1" applyBorder="1"/>
    <xf numFmtId="1" fontId="18" fillId="6" borderId="103" xfId="46" applyNumberFormat="1" applyFont="1" applyFill="1" applyBorder="1"/>
    <xf numFmtId="0" fontId="18" fillId="6" borderId="103" xfId="46" applyFont="1" applyFill="1" applyBorder="1"/>
    <xf numFmtId="1" fontId="18" fillId="6" borderId="103" xfId="46" applyNumberFormat="1" applyFont="1" applyFill="1" applyBorder="1" applyAlignment="1">
      <alignment horizontal="center"/>
    </xf>
    <xf numFmtId="1" fontId="18" fillId="0" borderId="103" xfId="46" applyNumberFormat="1" applyFont="1" applyBorder="1" applyAlignment="1">
      <alignment horizontal="center"/>
    </xf>
    <xf numFmtId="0" fontId="15" fillId="6" borderId="103" xfId="80" applyFont="1" applyFill="1" applyBorder="1" applyAlignment="1">
      <alignment horizontal="left" vertical="center" indent="1"/>
    </xf>
    <xf numFmtId="0" fontId="30" fillId="6" borderId="103" xfId="80" applyFont="1" applyFill="1" applyBorder="1" applyAlignment="1">
      <alignment horizontal="left" vertical="center" indent="1"/>
    </xf>
    <xf numFmtId="0" fontId="18" fillId="0" borderId="103" xfId="46" applyFont="1" applyFill="1" applyBorder="1"/>
    <xf numFmtId="0" fontId="15" fillId="0" borderId="103" xfId="80" applyFont="1" applyFill="1" applyBorder="1" applyAlignment="1">
      <alignment horizontal="left" vertical="center" indent="1"/>
    </xf>
    <xf numFmtId="0" fontId="46" fillId="8" borderId="0" xfId="80" applyFont="1" applyFill="1" applyBorder="1" applyAlignment="1">
      <alignment horizontal="right" vertical="center" indent="1"/>
    </xf>
    <xf numFmtId="171" fontId="24" fillId="8" borderId="0" xfId="77" applyNumberFormat="1" applyFont="1" applyFill="1" applyBorder="1" applyAlignment="1">
      <alignment horizontal="center" vertical="center"/>
    </xf>
    <xf numFmtId="0" fontId="46" fillId="0" borderId="0" xfId="80" applyFont="1" applyFill="1" applyBorder="1" applyAlignment="1">
      <alignment horizontal="right" vertical="center" indent="1"/>
    </xf>
    <xf numFmtId="171" fontId="24" fillId="0" borderId="0" xfId="77" applyNumberFormat="1" applyFont="1" applyFill="1" applyBorder="1" applyAlignment="1">
      <alignment horizontal="center" vertical="center"/>
    </xf>
    <xf numFmtId="0" fontId="18" fillId="0" borderId="103" xfId="80" applyFont="1" applyFill="1" applyBorder="1" applyAlignment="1">
      <alignment vertical="center"/>
    </xf>
    <xf numFmtId="168" fontId="31" fillId="0" borderId="103" xfId="77" applyNumberFormat="1" applyFont="1" applyFill="1" applyBorder="1" applyAlignment="1">
      <alignment horizontal="center" vertical="center"/>
    </xf>
    <xf numFmtId="168" fontId="31" fillId="6" borderId="103" xfId="77" applyNumberFormat="1" applyFont="1" applyFill="1" applyBorder="1" applyAlignment="1">
      <alignment horizontal="center" vertical="center"/>
    </xf>
    <xf numFmtId="1" fontId="18" fillId="0" borderId="103" xfId="80" applyNumberFormat="1" applyFont="1" applyFill="1" applyBorder="1" applyAlignment="1">
      <alignment horizontal="right" vertical="center"/>
    </xf>
    <xf numFmtId="0" fontId="18" fillId="0" borderId="103" xfId="80" applyFont="1" applyFill="1" applyBorder="1" applyAlignment="1">
      <alignment horizontal="right" vertical="center"/>
    </xf>
    <xf numFmtId="1" fontId="15" fillId="6" borderId="103" xfId="46" applyNumberFormat="1" applyFont="1" applyFill="1" applyBorder="1" applyAlignment="1">
      <alignment horizontal="left" indent="1"/>
    </xf>
    <xf numFmtId="1" fontId="15" fillId="0" borderId="103" xfId="46" applyNumberFormat="1" applyFont="1" applyBorder="1" applyAlignment="1">
      <alignment horizontal="left" indent="1"/>
    </xf>
    <xf numFmtId="0" fontId="124" fillId="0" borderId="103" xfId="284" quotePrefix="1" applyBorder="1" applyAlignment="1" applyProtection="1"/>
    <xf numFmtId="0" fontId="43" fillId="0" borderId="0" xfId="69" applyFont="1" applyAlignment="1" applyProtection="1">
      <alignment vertical="center"/>
      <protection hidden="1"/>
    </xf>
    <xf numFmtId="0" fontId="16" fillId="0" borderId="103" xfId="72" applyFont="1" applyFill="1" applyBorder="1" applyAlignment="1" applyProtection="1">
      <alignment horizontal="center" vertical="center" wrapText="1"/>
      <protection hidden="1"/>
    </xf>
    <xf numFmtId="0" fontId="15" fillId="0" borderId="103" xfId="69" applyFont="1" applyBorder="1" applyAlignment="1" applyProtection="1">
      <alignment vertical="center"/>
      <protection hidden="1"/>
    </xf>
    <xf numFmtId="0" fontId="15" fillId="6" borderId="103" xfId="69" applyFont="1" applyFill="1" applyBorder="1" applyAlignment="1" applyProtection="1">
      <alignment vertical="center"/>
      <protection hidden="1"/>
    </xf>
    <xf numFmtId="167" fontId="16" fillId="0" borderId="0" xfId="0" applyNumberFormat="1" applyFont="1" applyFill="1" applyBorder="1" applyAlignment="1">
      <alignment horizontal="center" vertical="center" wrapText="1"/>
    </xf>
    <xf numFmtId="167" fontId="16" fillId="6" borderId="103" xfId="0" applyNumberFormat="1" applyFont="1" applyFill="1" applyBorder="1" applyAlignment="1">
      <alignment horizontal="left" vertical="center" wrapText="1"/>
    </xf>
    <xf numFmtId="167" fontId="16" fillId="0" borderId="103" xfId="0" applyNumberFormat="1" applyFont="1" applyFill="1" applyBorder="1" applyAlignment="1">
      <alignment vertical="center" wrapText="1"/>
    </xf>
    <xf numFmtId="167" fontId="16" fillId="0" borderId="103" xfId="0" applyNumberFormat="1" applyFont="1" applyFill="1" applyBorder="1" applyAlignment="1">
      <alignment horizontal="left" vertical="center" wrapText="1"/>
    </xf>
    <xf numFmtId="0" fontId="18" fillId="0" borderId="0" xfId="46" applyFont="1" applyFill="1" applyBorder="1"/>
    <xf numFmtId="0" fontId="15" fillId="0" borderId="0" xfId="46" applyFont="1" applyFill="1" applyBorder="1" applyAlignment="1">
      <alignment horizontal="left" indent="1"/>
    </xf>
    <xf numFmtId="0" fontId="131" fillId="0" borderId="0" xfId="46" applyFont="1" applyFill="1" applyBorder="1"/>
    <xf numFmtId="0" fontId="129" fillId="0" borderId="0" xfId="46" applyFont="1" applyFill="1" applyBorder="1"/>
    <xf numFmtId="0" fontId="59" fillId="0" borderId="0" xfId="6" applyFont="1" applyFill="1" applyBorder="1" applyAlignment="1">
      <alignment horizontal="left" vertical="center" indent="1"/>
    </xf>
    <xf numFmtId="41" fontId="1" fillId="0" borderId="103" xfId="74" applyNumberFormat="1" applyFont="1" applyBorder="1"/>
    <xf numFmtId="0" fontId="7" fillId="0" borderId="103" xfId="74" applyFont="1" applyBorder="1" applyAlignment="1">
      <alignment wrapText="1"/>
    </xf>
    <xf numFmtId="0" fontId="7" fillId="0" borderId="103" xfId="74" applyFont="1" applyBorder="1"/>
    <xf numFmtId="0" fontId="0" fillId="7" borderId="0" xfId="0" applyFill="1"/>
    <xf numFmtId="0" fontId="12" fillId="0" borderId="0" xfId="0" applyFont="1" applyAlignment="1">
      <alignment wrapText="1"/>
    </xf>
    <xf numFmtId="0" fontId="157" fillId="0" borderId="103" xfId="0" applyFont="1" applyFill="1" applyBorder="1" applyAlignment="1">
      <alignment horizontal="center" vertical="center"/>
    </xf>
    <xf numFmtId="0" fontId="157" fillId="6" borderId="103" xfId="0" applyFont="1" applyFill="1" applyBorder="1" applyAlignment="1">
      <alignment horizontal="center" vertical="center"/>
    </xf>
    <xf numFmtId="41" fontId="12" fillId="6" borderId="0" xfId="0" applyNumberFormat="1" applyFont="1" applyFill="1" applyAlignment="1">
      <alignment horizontal="center" vertical="center"/>
    </xf>
    <xf numFmtId="0" fontId="0" fillId="0" borderId="103" xfId="0" applyFill="1" applyBorder="1" applyAlignment="1">
      <alignment horizontal="right" vertical="center"/>
    </xf>
    <xf numFmtId="0" fontId="64" fillId="0" borderId="103" xfId="0" applyFont="1" applyFill="1" applyBorder="1" applyAlignment="1">
      <alignment vertical="center"/>
    </xf>
    <xf numFmtId="173" fontId="7" fillId="0" borderId="103" xfId="81" applyNumberFormat="1" applyFont="1" applyFill="1" applyBorder="1"/>
    <xf numFmtId="173" fontId="59" fillId="0" borderId="103" xfId="81" applyNumberFormat="1" applyFont="1" applyFill="1" applyBorder="1"/>
    <xf numFmtId="0" fontId="0" fillId="0" borderId="103" xfId="0" applyFill="1" applyBorder="1" applyAlignment="1">
      <alignment horizontal="right" vertical="center" wrapText="1"/>
    </xf>
    <xf numFmtId="0" fontId="12" fillId="8" borderId="69" xfId="0" applyFont="1" applyFill="1" applyBorder="1" applyAlignment="1">
      <alignment horizontal="center" vertical="center" wrapText="1"/>
    </xf>
    <xf numFmtId="0" fontId="12" fillId="8" borderId="70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103" xfId="0" applyBorder="1"/>
    <xf numFmtId="41" fontId="19" fillId="0" borderId="103" xfId="0" applyNumberFormat="1" applyFont="1" applyFill="1" applyBorder="1" applyAlignment="1">
      <alignment horizontal="center" vertical="center" wrapText="1"/>
    </xf>
    <xf numFmtId="0" fontId="83" fillId="0" borderId="103" xfId="0" applyFont="1" applyFill="1" applyBorder="1" applyAlignment="1">
      <alignment horizontal="center" vertical="center"/>
    </xf>
    <xf numFmtId="167" fontId="171" fillId="6" borderId="17" xfId="0" applyNumberFormat="1" applyFont="1" applyFill="1" applyBorder="1" applyAlignment="1">
      <alignment horizontal="center" vertical="center"/>
    </xf>
    <xf numFmtId="167" fontId="171" fillId="0" borderId="76" xfId="0" applyNumberFormat="1" applyFont="1" applyFill="1" applyBorder="1" applyAlignment="1">
      <alignment horizontal="center" vertical="center"/>
    </xf>
    <xf numFmtId="41" fontId="59" fillId="6" borderId="24" xfId="0" applyNumberFormat="1" applyFont="1" applyFill="1" applyBorder="1" applyAlignment="1">
      <alignment horizontal="center" vertical="center" wrapText="1"/>
    </xf>
    <xf numFmtId="41" fontId="59" fillId="0" borderId="72" xfId="0" applyNumberFormat="1" applyFont="1" applyFill="1" applyBorder="1" applyAlignment="1">
      <alignment horizontal="center" vertical="center" wrapText="1"/>
    </xf>
    <xf numFmtId="167" fontId="171" fillId="6" borderId="103" xfId="0" applyNumberFormat="1" applyFont="1" applyFill="1" applyBorder="1" applyAlignment="1">
      <alignment horizontal="center" vertical="center"/>
    </xf>
    <xf numFmtId="0" fontId="77" fillId="0" borderId="103" xfId="0" applyFont="1" applyBorder="1" applyAlignment="1">
      <alignment vertical="center" textRotation="90" wrapText="1"/>
    </xf>
    <xf numFmtId="167" fontId="171" fillId="0" borderId="103" xfId="0" applyNumberFormat="1" applyFont="1" applyFill="1" applyBorder="1" applyAlignment="1">
      <alignment horizontal="center" vertical="center"/>
    </xf>
    <xf numFmtId="0" fontId="11" fillId="7" borderId="103" xfId="6" applyFont="1" applyFill="1" applyBorder="1" applyAlignment="1">
      <alignment horizontal="left" vertical="center" wrapText="1"/>
    </xf>
    <xf numFmtId="0" fontId="0" fillId="11" borderId="103" xfId="0" applyFill="1" applyBorder="1"/>
    <xf numFmtId="0" fontId="77" fillId="11" borderId="103" xfId="0" applyFont="1" applyFill="1" applyBorder="1" applyAlignment="1">
      <alignment vertical="center" textRotation="90" wrapText="1"/>
    </xf>
    <xf numFmtId="41" fontId="0" fillId="0" borderId="103" xfId="0" applyNumberFormat="1" applyBorder="1"/>
    <xf numFmtId="41" fontId="0" fillId="6" borderId="103" xfId="0" applyNumberFormat="1" applyFill="1" applyBorder="1"/>
    <xf numFmtId="167" fontId="15" fillId="0" borderId="0" xfId="0" applyNumberFormat="1" applyFont="1" applyFill="1" applyBorder="1" applyAlignment="1">
      <alignment horizontal="left" vertical="center" wrapText="1"/>
    </xf>
    <xf numFmtId="0" fontId="12" fillId="8" borderId="59" xfId="0" applyFont="1" applyFill="1" applyBorder="1" applyAlignment="1">
      <alignment horizontal="center" vertical="center" wrapText="1"/>
    </xf>
    <xf numFmtId="41" fontId="59" fillId="0" borderId="0" xfId="69" applyNumberFormat="1" applyFont="1" applyFill="1" applyBorder="1" applyAlignment="1">
      <alignment horizontal="center" vertical="center" wrapText="1"/>
    </xf>
    <xf numFmtId="0" fontId="0" fillId="0" borderId="0" xfId="0" applyFont="1"/>
    <xf numFmtId="0" fontId="12" fillId="0" borderId="11" xfId="0" applyFont="1" applyBorder="1" applyAlignment="1">
      <alignment horizontal="center" wrapText="1"/>
    </xf>
    <xf numFmtId="43" fontId="26" fillId="8" borderId="103" xfId="7" applyNumberFormat="1" applyFont="1" applyFill="1" applyBorder="1" applyAlignment="1">
      <alignment horizontal="left" vertical="center" wrapText="1" indent="1"/>
    </xf>
    <xf numFmtId="0" fontId="23" fillId="0" borderId="0" xfId="0" applyFont="1" applyFill="1" applyAlignment="1">
      <alignment horizontal="center"/>
    </xf>
    <xf numFmtId="0" fontId="12" fillId="0" borderId="71" xfId="0" applyFont="1" applyBorder="1" applyAlignment="1">
      <alignment vertical="center" wrapText="1"/>
    </xf>
    <xf numFmtId="0" fontId="12" fillId="68" borderId="11" xfId="0" applyFont="1" applyFill="1" applyBorder="1" applyAlignment="1">
      <alignment horizontal="center" vertical="center" wrapText="1"/>
    </xf>
    <xf numFmtId="170" fontId="0" fillId="4" borderId="0" xfId="285" applyNumberFormat="1" applyFont="1" applyFill="1"/>
    <xf numFmtId="43" fontId="23" fillId="0" borderId="0" xfId="7" applyFont="1"/>
    <xf numFmtId="43" fontId="38" fillId="0" borderId="0" xfId="7" applyFont="1"/>
    <xf numFmtId="3" fontId="15" fillId="0" borderId="0" xfId="46" applyNumberFormat="1" applyFont="1" applyFill="1"/>
    <xf numFmtId="3" fontId="30" fillId="0" borderId="0" xfId="69" applyNumberFormat="1" applyFont="1" applyFill="1" applyAlignment="1" applyProtection="1">
      <alignment vertical="center"/>
      <protection hidden="1"/>
    </xf>
    <xf numFmtId="3" fontId="14" fillId="0" borderId="0" xfId="46" applyNumberFormat="1" applyFont="1" applyFill="1" applyBorder="1" applyAlignment="1">
      <alignment horizontal="left" vertical="center" indent="1"/>
    </xf>
    <xf numFmtId="3" fontId="14" fillId="0" borderId="0" xfId="46" applyNumberFormat="1" applyFont="1" applyFill="1" applyBorder="1" applyAlignment="1">
      <alignment horizontal="left" vertical="center" wrapText="1" indent="1"/>
    </xf>
    <xf numFmtId="3" fontId="25" fillId="0" borderId="103" xfId="7" applyNumberFormat="1" applyFont="1" applyFill="1" applyBorder="1" applyAlignment="1" applyProtection="1">
      <alignment horizontal="center" vertical="center" wrapText="1"/>
      <protection hidden="1"/>
    </xf>
    <xf numFmtId="3" fontId="25" fillId="0" borderId="103" xfId="7" applyNumberFormat="1" applyFont="1" applyFill="1" applyBorder="1" applyAlignment="1" applyProtection="1">
      <alignment horizontal="center" vertical="top" wrapText="1"/>
      <protection hidden="1"/>
    </xf>
    <xf numFmtId="43" fontId="25" fillId="0" borderId="103" xfId="7" applyFont="1" applyFill="1" applyBorder="1" applyAlignment="1" applyProtection="1">
      <alignment horizontal="center" vertical="center" wrapText="1"/>
      <protection hidden="1"/>
    </xf>
    <xf numFmtId="3" fontId="16" fillId="0" borderId="103" xfId="7" applyNumberFormat="1" applyFont="1" applyFill="1" applyBorder="1" applyAlignment="1" applyProtection="1">
      <alignment vertical="center" wrapText="1"/>
      <protection hidden="1"/>
    </xf>
    <xf numFmtId="3" fontId="17" fillId="0" borderId="103" xfId="46" applyNumberFormat="1" applyFont="1" applyFill="1" applyBorder="1" applyAlignment="1">
      <alignment horizontal="left" vertical="center" wrapText="1" indent="1"/>
    </xf>
    <xf numFmtId="3" fontId="25" fillId="0" borderId="103" xfId="14" applyNumberFormat="1" applyFont="1" applyFill="1" applyBorder="1" applyAlignment="1" applyProtection="1">
      <alignment horizontal="center" vertical="center" wrapText="1"/>
      <protection hidden="1"/>
    </xf>
    <xf numFmtId="3" fontId="30" fillId="0" borderId="103" xfId="7" applyNumberFormat="1" applyFont="1" applyFill="1" applyBorder="1" applyAlignment="1" applyProtection="1">
      <alignment vertical="center"/>
      <protection hidden="1"/>
    </xf>
    <xf numFmtId="3" fontId="65" fillId="0" borderId="103" xfId="69" applyNumberFormat="1" applyFont="1" applyFill="1" applyBorder="1" applyAlignment="1">
      <alignment horizontal="center" vertical="center" wrapText="1"/>
    </xf>
    <xf numFmtId="3" fontId="27" fillId="0" borderId="103" xfId="7" applyNumberFormat="1" applyFont="1" applyFill="1" applyBorder="1" applyAlignment="1">
      <alignment horizontal="left" vertical="center" wrapText="1" indent="1"/>
    </xf>
    <xf numFmtId="3" fontId="65" fillId="0" borderId="103" xfId="69" applyNumberFormat="1" applyFont="1" applyFill="1" applyBorder="1" applyAlignment="1">
      <alignment vertical="center" wrapText="1"/>
    </xf>
    <xf numFmtId="0" fontId="0" fillId="0" borderId="59" xfId="0" applyBorder="1"/>
    <xf numFmtId="3" fontId="18" fillId="5" borderId="104" xfId="69" applyNumberFormat="1" applyFont="1" applyFill="1" applyBorder="1" applyAlignment="1" applyProtection="1">
      <alignment horizontal="center" vertical="top" wrapText="1"/>
      <protection hidden="1"/>
    </xf>
    <xf numFmtId="0" fontId="180" fillId="0" borderId="0" xfId="284" applyFont="1" applyAlignment="1" applyProtection="1">
      <alignment horizontal="left"/>
      <protection hidden="1"/>
    </xf>
    <xf numFmtId="0" fontId="17" fillId="6" borderId="70" xfId="46" applyFont="1" applyFill="1" applyBorder="1" applyAlignment="1">
      <alignment horizontal="center" vertical="center" wrapText="1"/>
    </xf>
    <xf numFmtId="0" fontId="43" fillId="0" borderId="0" xfId="46" applyFont="1" applyFill="1" applyBorder="1" applyAlignment="1">
      <alignment horizontal="left" vertical="center"/>
    </xf>
    <xf numFmtId="0" fontId="43" fillId="0" borderId="0" xfId="46" applyFont="1" applyBorder="1" applyAlignment="1">
      <alignment horizontal="left" vertical="top" wrapText="1" indent="1"/>
    </xf>
    <xf numFmtId="3" fontId="205" fillId="0" borderId="0" xfId="46" applyNumberFormat="1" applyFont="1" applyBorder="1" applyAlignment="1">
      <alignment horizontal="left" vertical="center" indent="1"/>
    </xf>
    <xf numFmtId="3" fontId="59" fillId="0" borderId="135" xfId="69" applyNumberFormat="1" applyFont="1" applyFill="1" applyBorder="1" applyAlignment="1">
      <alignment horizontal="center" vertical="center" wrapText="1"/>
    </xf>
    <xf numFmtId="3" fontId="15" fillId="0" borderId="135" xfId="46" applyNumberFormat="1" applyFont="1" applyBorder="1"/>
    <xf numFmtId="43" fontId="74" fillId="12" borderId="135" xfId="7" applyFont="1" applyFill="1" applyBorder="1" applyAlignment="1" applyProtection="1">
      <alignment horizontal="center" vertical="center" wrapText="1"/>
      <protection hidden="1"/>
    </xf>
    <xf numFmtId="3" fontId="37" fillId="4" borderId="178" xfId="69" applyNumberFormat="1" applyFont="1" applyFill="1" applyBorder="1" applyAlignment="1" applyProtection="1">
      <alignment vertical="center"/>
      <protection hidden="1"/>
    </xf>
    <xf numFmtId="43" fontId="230" fillId="4" borderId="1" xfId="7" applyFont="1" applyFill="1" applyBorder="1" applyAlignment="1" applyProtection="1">
      <alignment horizontal="center" vertical="center" wrapText="1"/>
      <protection hidden="1"/>
    </xf>
    <xf numFmtId="171" fontId="15" fillId="5" borderId="103" xfId="7" applyNumberFormat="1" applyFont="1" applyFill="1" applyBorder="1" applyAlignment="1">
      <alignment horizontal="center" vertical="center" wrapText="1"/>
    </xf>
    <xf numFmtId="3" fontId="205" fillId="0" borderId="135" xfId="46" applyNumberFormat="1" applyFont="1" applyBorder="1" applyAlignment="1">
      <alignment horizontal="left" vertical="center" indent="1"/>
    </xf>
    <xf numFmtId="0" fontId="177" fillId="66" borderId="135" xfId="0" applyFont="1" applyFill="1" applyBorder="1" applyAlignment="1">
      <alignment horizontal="left" vertical="center" wrapText="1" readingOrder="1"/>
    </xf>
    <xf numFmtId="0" fontId="0" fillId="0" borderId="135" xfId="0" applyFont="1" applyBorder="1" applyAlignment="1">
      <alignment horizontal="center"/>
    </xf>
    <xf numFmtId="0" fontId="207" fillId="66" borderId="135" xfId="0" applyFont="1" applyFill="1" applyBorder="1" applyAlignment="1">
      <alignment horizontal="left" vertical="center" wrapText="1" readingOrder="1"/>
    </xf>
    <xf numFmtId="9" fontId="0" fillId="0" borderId="135" xfId="14" applyFont="1" applyFill="1" applyBorder="1"/>
    <xf numFmtId="0" fontId="178" fillId="66" borderId="135" xfId="0" applyFont="1" applyFill="1" applyBorder="1" applyAlignment="1">
      <alignment horizontal="left" vertical="center" wrapText="1" readingOrder="1"/>
    </xf>
    <xf numFmtId="0" fontId="178" fillId="0" borderId="135" xfId="0" applyFont="1" applyFill="1" applyBorder="1" applyAlignment="1">
      <alignment horizontal="left" vertical="center" wrapText="1" readingOrder="1"/>
    </xf>
    <xf numFmtId="3" fontId="15" fillId="67" borderId="135" xfId="46" applyNumberFormat="1" applyFont="1" applyFill="1" applyBorder="1"/>
    <xf numFmtId="9" fontId="206" fillId="0" borderId="135" xfId="14" applyFont="1" applyBorder="1" applyAlignment="1">
      <alignment vertical="center"/>
    </xf>
    <xf numFmtId="3" fontId="15" fillId="0" borderId="135" xfId="46" applyNumberFormat="1" applyFont="1" applyBorder="1" applyAlignment="1">
      <alignment vertical="center"/>
    </xf>
    <xf numFmtId="9" fontId="15" fillId="0" borderId="135" xfId="14" applyFont="1" applyBorder="1" applyAlignment="1">
      <alignment vertical="center"/>
    </xf>
    <xf numFmtId="171" fontId="15" fillId="4" borderId="103" xfId="7" applyNumberFormat="1" applyFont="1" applyFill="1" applyBorder="1" applyAlignment="1">
      <alignment horizontal="center" vertical="center" wrapText="1"/>
    </xf>
    <xf numFmtId="171" fontId="0" fillId="0" borderId="0" xfId="7" applyNumberFormat="1" applyFont="1"/>
    <xf numFmtId="3" fontId="59" fillId="6" borderId="202" xfId="46" applyNumberFormat="1" applyFont="1" applyFill="1" applyBorder="1" applyAlignment="1">
      <alignment horizontal="center" vertical="center"/>
    </xf>
    <xf numFmtId="3" fontId="59" fillId="6" borderId="203" xfId="46" applyNumberFormat="1" applyFont="1" applyFill="1" applyBorder="1" applyAlignment="1">
      <alignment horizontal="center" vertical="center"/>
    </xf>
    <xf numFmtId="3" fontId="59" fillId="0" borderId="204" xfId="46" applyNumberFormat="1" applyFont="1" applyFill="1" applyBorder="1" applyAlignment="1">
      <alignment horizontal="center" vertical="center"/>
    </xf>
    <xf numFmtId="3" fontId="59" fillId="0" borderId="205" xfId="46" applyNumberFormat="1" applyFont="1" applyFill="1" applyBorder="1" applyAlignment="1">
      <alignment horizontal="center" vertical="center"/>
    </xf>
    <xf numFmtId="3" fontId="59" fillId="6" borderId="204" xfId="46" applyNumberFormat="1" applyFont="1" applyFill="1" applyBorder="1" applyAlignment="1">
      <alignment horizontal="center" vertical="center"/>
    </xf>
    <xf numFmtId="3" fontId="59" fillId="6" borderId="205" xfId="46" applyNumberFormat="1" applyFont="1" applyFill="1" applyBorder="1" applyAlignment="1">
      <alignment horizontal="center" vertical="center"/>
    </xf>
    <xf numFmtId="3" fontId="59" fillId="0" borderId="206" xfId="46" applyNumberFormat="1" applyFont="1" applyFill="1" applyBorder="1" applyAlignment="1">
      <alignment horizontal="center" vertical="center"/>
    </xf>
    <xf numFmtId="3" fontId="59" fillId="0" borderId="121" xfId="46" applyNumberFormat="1" applyFont="1" applyFill="1" applyBorder="1" applyAlignment="1">
      <alignment horizontal="center" vertical="center"/>
    </xf>
    <xf numFmtId="3" fontId="59" fillId="6" borderId="206" xfId="46" applyNumberFormat="1" applyFont="1" applyFill="1" applyBorder="1" applyAlignment="1">
      <alignment horizontal="center" vertical="center"/>
    </xf>
    <xf numFmtId="3" fontId="59" fillId="6" borderId="121" xfId="46" applyNumberFormat="1" applyFont="1" applyFill="1" applyBorder="1" applyAlignment="1">
      <alignment horizontal="center" vertical="center"/>
    </xf>
    <xf numFmtId="3" fontId="59" fillId="0" borderId="40" xfId="46" applyNumberFormat="1" applyFont="1" applyFill="1" applyBorder="1" applyAlignment="1">
      <alignment horizontal="center" vertical="center"/>
    </xf>
    <xf numFmtId="3" fontId="59" fillId="0" borderId="207" xfId="46" applyNumberFormat="1" applyFont="1" applyFill="1" applyBorder="1" applyAlignment="1">
      <alignment horizontal="center" vertical="center"/>
    </xf>
    <xf numFmtId="0" fontId="185" fillId="0" borderId="0" xfId="46" applyFont="1" applyFill="1"/>
    <xf numFmtId="9" fontId="185" fillId="0" borderId="0" xfId="46" applyNumberFormat="1" applyFont="1" applyFill="1"/>
    <xf numFmtId="0" fontId="14" fillId="3" borderId="109" xfId="46" applyFont="1" applyFill="1" applyBorder="1" applyAlignment="1">
      <alignment horizontal="center" vertical="center" wrapText="1"/>
    </xf>
    <xf numFmtId="0" fontId="14" fillId="0" borderId="109" xfId="46" applyFont="1" applyFill="1" applyBorder="1" applyAlignment="1">
      <alignment horizontal="center" vertical="center" wrapText="1"/>
    </xf>
    <xf numFmtId="0" fontId="16" fillId="3" borderId="135" xfId="46" applyFont="1" applyFill="1" applyBorder="1" applyAlignment="1">
      <alignment horizontal="center" vertical="top" wrapText="1"/>
    </xf>
    <xf numFmtId="0" fontId="16" fillId="0" borderId="135" xfId="46" applyFont="1" applyFill="1" applyBorder="1" applyAlignment="1">
      <alignment horizontal="center" vertical="top" wrapText="1"/>
    </xf>
    <xf numFmtId="0" fontId="16" fillId="0" borderId="135" xfId="46" applyFont="1" applyFill="1" applyBorder="1" applyAlignment="1">
      <alignment horizontal="left" vertical="center" wrapText="1"/>
    </xf>
    <xf numFmtId="0" fontId="0" fillId="0" borderId="135" xfId="0" applyBorder="1" applyAlignment="1">
      <alignment horizontal="center" vertical="center"/>
    </xf>
    <xf numFmtId="3" fontId="59" fillId="0" borderId="135" xfId="46" applyNumberFormat="1" applyFont="1" applyFill="1" applyBorder="1" applyAlignment="1">
      <alignment horizontal="center" vertical="center"/>
    </xf>
    <xf numFmtId="167" fontId="16" fillId="6" borderId="135" xfId="0" applyNumberFormat="1" applyFont="1" applyFill="1" applyBorder="1" applyAlignment="1">
      <alignment horizontal="left" vertical="center" wrapText="1"/>
    </xf>
    <xf numFmtId="167" fontId="16" fillId="0" borderId="135" xfId="0" applyNumberFormat="1" applyFont="1" applyFill="1" applyBorder="1" applyAlignment="1">
      <alignment horizontal="left" vertical="center" wrapText="1"/>
    </xf>
    <xf numFmtId="9" fontId="0" fillId="0" borderId="135" xfId="112" applyFont="1" applyFill="1" applyBorder="1"/>
    <xf numFmtId="3" fontId="59" fillId="6" borderId="135" xfId="46" applyNumberFormat="1" applyFont="1" applyFill="1" applyBorder="1" applyAlignment="1">
      <alignment horizontal="center" vertical="center"/>
    </xf>
    <xf numFmtId="9" fontId="0" fillId="6" borderId="135" xfId="112" applyFont="1" applyFill="1" applyBorder="1"/>
    <xf numFmtId="0" fontId="0" fillId="0" borderId="109" xfId="0" applyBorder="1" applyAlignment="1">
      <alignment horizontal="center"/>
    </xf>
    <xf numFmtId="3" fontId="76" fillId="4" borderId="135" xfId="46" applyNumberFormat="1" applyFont="1" applyFill="1" applyBorder="1" applyAlignment="1">
      <alignment horizontal="center" vertical="center"/>
    </xf>
    <xf numFmtId="3" fontId="76" fillId="8" borderId="0" xfId="46" applyNumberFormat="1" applyFont="1" applyFill="1" applyBorder="1" applyAlignment="1">
      <alignment horizontal="center" vertical="center"/>
    </xf>
    <xf numFmtId="3" fontId="59" fillId="8" borderId="0" xfId="46" applyNumberFormat="1" applyFont="1" applyFill="1" applyBorder="1" applyAlignment="1">
      <alignment horizontal="center" vertical="center"/>
    </xf>
    <xf numFmtId="9" fontId="59" fillId="8" borderId="0" xfId="14" applyFont="1" applyFill="1" applyBorder="1" applyAlignment="1">
      <alignment horizontal="center" vertical="center"/>
    </xf>
    <xf numFmtId="0" fontId="0" fillId="0" borderId="109" xfId="0" applyFill="1" applyBorder="1" applyAlignment="1">
      <alignment horizontal="center"/>
    </xf>
    <xf numFmtId="9" fontId="0" fillId="0" borderId="135" xfId="0" applyNumberFormat="1" applyBorder="1" applyAlignment="1">
      <alignment horizontal="center" vertical="center"/>
    </xf>
    <xf numFmtId="3" fontId="59" fillId="0" borderId="180" xfId="46" applyNumberFormat="1" applyFont="1" applyFill="1" applyBorder="1" applyAlignment="1">
      <alignment horizontal="center" vertical="center"/>
    </xf>
    <xf numFmtId="3" fontId="59" fillId="6" borderId="180" xfId="46" applyNumberFormat="1" applyFont="1" applyFill="1" applyBorder="1" applyAlignment="1">
      <alignment horizontal="center" vertical="center"/>
    </xf>
    <xf numFmtId="3" fontId="59" fillId="0" borderId="2" xfId="46" applyNumberFormat="1" applyFont="1" applyFill="1" applyBorder="1" applyAlignment="1">
      <alignment horizontal="center" vertical="center"/>
    </xf>
    <xf numFmtId="3" fontId="59" fillId="6" borderId="2" xfId="46" applyNumberFormat="1" applyFont="1" applyFill="1" applyBorder="1" applyAlignment="1">
      <alignment horizontal="center" vertical="center"/>
    </xf>
    <xf numFmtId="3" fontId="59" fillId="0" borderId="209" xfId="46" applyNumberFormat="1" applyFont="1" applyFill="1" applyBorder="1" applyAlignment="1">
      <alignment horizontal="center" vertical="center"/>
    </xf>
    <xf numFmtId="0" fontId="14" fillId="0" borderId="135" xfId="46" applyFont="1" applyFill="1" applyBorder="1" applyAlignment="1">
      <alignment horizontal="center" vertical="center" wrapText="1"/>
    </xf>
    <xf numFmtId="9" fontId="0" fillId="0" borderId="109" xfId="0" applyNumberFormat="1" applyFill="1" applyBorder="1" applyAlignment="1">
      <alignment horizontal="center"/>
    </xf>
    <xf numFmtId="0" fontId="16" fillId="0" borderId="135" xfId="46" applyFont="1" applyFill="1" applyBorder="1" applyAlignment="1">
      <alignment vertical="center" wrapText="1"/>
    </xf>
    <xf numFmtId="0" fontId="16" fillId="0" borderId="134" xfId="46" applyFont="1" applyFill="1" applyBorder="1" applyAlignment="1">
      <alignment horizontal="center" vertical="center" wrapText="1"/>
    </xf>
    <xf numFmtId="0" fontId="16" fillId="0" borderId="138" xfId="46" applyFont="1" applyFill="1" applyBorder="1" applyAlignment="1">
      <alignment horizontal="center" vertical="center" wrapText="1"/>
    </xf>
    <xf numFmtId="3" fontId="16" fillId="6" borderId="135" xfId="46" applyNumberFormat="1" applyFont="1" applyFill="1" applyBorder="1" applyAlignment="1">
      <alignment horizontal="left" vertical="center"/>
    </xf>
    <xf numFmtId="3" fontId="16" fillId="0" borderId="135" xfId="46" applyNumberFormat="1" applyFont="1" applyFill="1" applyBorder="1" applyAlignment="1">
      <alignment horizontal="left" vertical="center"/>
    </xf>
    <xf numFmtId="9" fontId="77" fillId="3" borderId="213" xfId="112" applyFont="1" applyFill="1" applyBorder="1" applyAlignment="1"/>
    <xf numFmtId="3" fontId="59" fillId="8" borderId="107" xfId="46" applyNumberFormat="1" applyFont="1" applyFill="1" applyBorder="1" applyAlignment="1">
      <alignment horizontal="center" vertical="center"/>
    </xf>
    <xf numFmtId="3" fontId="59" fillId="8" borderId="102" xfId="46" applyNumberFormat="1" applyFont="1" applyFill="1" applyBorder="1" applyAlignment="1">
      <alignment horizontal="center" vertical="center"/>
    </xf>
    <xf numFmtId="3" fontId="59" fillId="8" borderId="18" xfId="46" applyNumberFormat="1" applyFont="1" applyFill="1" applyBorder="1" applyAlignment="1">
      <alignment horizontal="center" vertical="center"/>
    </xf>
    <xf numFmtId="3" fontId="59" fillId="8" borderId="1" xfId="46" applyNumberFormat="1" applyFont="1" applyFill="1" applyBorder="1" applyAlignment="1">
      <alignment horizontal="center" vertical="center"/>
    </xf>
    <xf numFmtId="3" fontId="59" fillId="8" borderId="15" xfId="46" applyNumberFormat="1" applyFont="1" applyFill="1" applyBorder="1" applyAlignment="1">
      <alignment horizontal="center" vertical="center"/>
    </xf>
    <xf numFmtId="3" fontId="59" fillId="8" borderId="13" xfId="46" applyNumberFormat="1" applyFont="1" applyFill="1" applyBorder="1" applyAlignment="1">
      <alignment horizontal="center" vertical="center"/>
    </xf>
    <xf numFmtId="43" fontId="0" fillId="0" borderId="0" xfId="77" applyFont="1"/>
    <xf numFmtId="43" fontId="0" fillId="0" borderId="0" xfId="0" applyNumberFormat="1"/>
    <xf numFmtId="0" fontId="12" fillId="0" borderId="135" xfId="0" applyFont="1" applyBorder="1" applyAlignment="1">
      <alignment horizontal="center" vertical="center"/>
    </xf>
    <xf numFmtId="9" fontId="12" fillId="0" borderId="135" xfId="0" applyNumberFormat="1" applyFont="1" applyBorder="1" applyAlignment="1">
      <alignment horizontal="center" vertical="center"/>
    </xf>
    <xf numFmtId="0" fontId="7" fillId="0" borderId="135" xfId="0" applyFont="1" applyBorder="1"/>
    <xf numFmtId="43" fontId="7" fillId="0" borderId="135" xfId="77" applyFont="1" applyBorder="1"/>
    <xf numFmtId="37" fontId="7" fillId="0" borderId="135" xfId="81" applyNumberFormat="1" applyFont="1" applyBorder="1"/>
    <xf numFmtId="37" fontId="0" fillId="0" borderId="135" xfId="81" applyNumberFormat="1" applyFont="1" applyBorder="1"/>
    <xf numFmtId="43" fontId="0" fillId="0" borderId="135" xfId="77" applyFont="1" applyBorder="1"/>
    <xf numFmtId="0" fontId="231" fillId="0" borderId="0" xfId="0" applyFont="1"/>
    <xf numFmtId="0" fontId="7" fillId="0" borderId="0" xfId="0" applyFont="1" applyAlignment="1">
      <alignment horizontal="right"/>
    </xf>
    <xf numFmtId="43" fontId="7" fillId="0" borderId="0" xfId="77" applyFont="1"/>
    <xf numFmtId="0" fontId="30" fillId="0" borderId="0" xfId="0" applyFont="1" applyAlignment="1">
      <alignment horizontal="left" vertical="center" indent="2"/>
    </xf>
    <xf numFmtId="0" fontId="30" fillId="0" borderId="0" xfId="0" applyFont="1" applyAlignment="1">
      <alignment horizontal="left" vertical="center" wrapText="1" indent="2"/>
    </xf>
    <xf numFmtId="0" fontId="157" fillId="0" borderId="135" xfId="0" applyFont="1" applyFill="1" applyBorder="1" applyAlignment="1">
      <alignment horizontal="center" vertical="center"/>
    </xf>
    <xf numFmtId="0" fontId="157" fillId="6" borderId="135" xfId="0" applyFont="1" applyFill="1" applyBorder="1" applyAlignment="1">
      <alignment horizontal="center" vertical="center"/>
    </xf>
    <xf numFmtId="0" fontId="0" fillId="0" borderId="135" xfId="0" applyFont="1" applyFill="1" applyBorder="1" applyAlignment="1">
      <alignment horizontal="center" vertical="center"/>
    </xf>
    <xf numFmtId="41" fontId="12" fillId="6" borderId="135" xfId="0" applyNumberFormat="1" applyFont="1" applyFill="1" applyBorder="1" applyAlignment="1">
      <alignment horizontal="center" vertical="center"/>
    </xf>
    <xf numFmtId="0" fontId="0" fillId="0" borderId="133" xfId="0" applyFill="1" applyBorder="1" applyAlignment="1">
      <alignment vertical="center"/>
    </xf>
    <xf numFmtId="0" fontId="0" fillId="0" borderId="134" xfId="0" applyFill="1" applyBorder="1" applyAlignment="1">
      <alignment vertical="center"/>
    </xf>
    <xf numFmtId="174" fontId="0" fillId="69" borderId="0" xfId="81" applyNumberFormat="1" applyFont="1" applyFill="1"/>
    <xf numFmtId="174" fontId="41" fillId="69" borderId="0" xfId="81" applyNumberFormat="1" applyFont="1" applyFill="1"/>
    <xf numFmtId="0" fontId="41" fillId="0" borderId="107" xfId="46" applyFill="1" applyBorder="1"/>
    <xf numFmtId="0" fontId="0" fillId="0" borderId="19" xfId="0" applyFill="1" applyBorder="1" applyAlignment="1"/>
    <xf numFmtId="41" fontId="41" fillId="0" borderId="19" xfId="46" applyNumberFormat="1" applyFill="1" applyBorder="1"/>
    <xf numFmtId="0" fontId="41" fillId="0" borderId="19" xfId="46" applyFill="1" applyBorder="1"/>
    <xf numFmtId="0" fontId="41" fillId="0" borderId="102" xfId="46" applyFill="1" applyBorder="1"/>
    <xf numFmtId="0" fontId="41" fillId="0" borderId="15" xfId="46" applyFill="1" applyBorder="1" applyAlignment="1">
      <alignment horizontal="right"/>
    </xf>
    <xf numFmtId="0" fontId="41" fillId="0" borderId="2" xfId="46" applyFill="1" applyBorder="1"/>
    <xf numFmtId="41" fontId="41" fillId="0" borderId="2" xfId="46" applyNumberFormat="1" applyFill="1" applyBorder="1"/>
    <xf numFmtId="0" fontId="41" fillId="0" borderId="13" xfId="46" applyFill="1" applyBorder="1"/>
    <xf numFmtId="168" fontId="68" fillId="0" borderId="135" xfId="0" applyNumberFormat="1" applyFont="1" applyFill="1" applyBorder="1" applyAlignment="1">
      <alignment horizontal="center" vertical="center" wrapText="1"/>
    </xf>
    <xf numFmtId="9" fontId="30" fillId="0" borderId="103" xfId="14" applyFont="1" applyFill="1" applyBorder="1" applyAlignment="1" applyProtection="1">
      <alignment vertical="center"/>
      <protection hidden="1"/>
    </xf>
    <xf numFmtId="43" fontId="38" fillId="70" borderId="11" xfId="7" applyFont="1" applyFill="1" applyBorder="1" applyAlignment="1" applyProtection="1">
      <alignment horizontal="center" vertical="center" wrapText="1"/>
      <protection hidden="1"/>
    </xf>
    <xf numFmtId="3" fontId="38" fillId="58" borderId="5" xfId="69" applyNumberFormat="1" applyFont="1" applyFill="1" applyBorder="1" applyAlignment="1">
      <alignment horizontal="center" vertical="center" wrapText="1"/>
    </xf>
    <xf numFmtId="3" fontId="38" fillId="58" borderId="133" xfId="69" applyNumberFormat="1" applyFont="1" applyFill="1" applyBorder="1" applyAlignment="1">
      <alignment horizontal="center" vertical="center" wrapText="1"/>
    </xf>
    <xf numFmtId="3" fontId="15" fillId="5" borderId="133" xfId="69" applyNumberFormat="1" applyFont="1" applyFill="1" applyBorder="1" applyAlignment="1" applyProtection="1">
      <alignment vertical="center"/>
      <protection hidden="1"/>
    </xf>
    <xf numFmtId="3" fontId="16" fillId="0" borderId="135" xfId="69" applyNumberFormat="1" applyFont="1" applyFill="1" applyBorder="1" applyAlignment="1" applyProtection="1">
      <alignment vertical="center"/>
      <protection hidden="1"/>
    </xf>
    <xf numFmtId="3" fontId="15" fillId="70" borderId="135" xfId="46" applyNumberFormat="1" applyFont="1" applyFill="1" applyBorder="1"/>
    <xf numFmtId="43" fontId="15" fillId="70" borderId="135" xfId="7" applyFont="1" applyFill="1" applyBorder="1"/>
    <xf numFmtId="43" fontId="15" fillId="70" borderId="133" xfId="7" applyFont="1" applyFill="1" applyBorder="1"/>
    <xf numFmtId="3" fontId="15" fillId="0" borderId="131" xfId="69" applyNumberFormat="1" applyFont="1" applyFill="1" applyBorder="1" applyAlignment="1" applyProtection="1">
      <alignment vertical="center" wrapText="1"/>
      <protection hidden="1"/>
    </xf>
    <xf numFmtId="3" fontId="15" fillId="0" borderId="13" xfId="69" applyNumberFormat="1" applyFont="1" applyFill="1" applyBorder="1" applyAlignment="1" applyProtection="1">
      <alignment vertical="center" wrapText="1"/>
      <protection hidden="1"/>
    </xf>
    <xf numFmtId="0" fontId="44" fillId="0" borderId="0" xfId="0" applyFont="1" applyBorder="1" applyAlignment="1">
      <alignment horizontal="center" vertical="center"/>
    </xf>
    <xf numFmtId="41" fontId="11" fillId="5" borderId="0" xfId="0" applyNumberFormat="1" applyFont="1" applyFill="1" applyBorder="1"/>
    <xf numFmtId="0" fontId="11" fillId="5" borderId="0" xfId="0" applyFont="1" applyFill="1" applyBorder="1"/>
    <xf numFmtId="0" fontId="14" fillId="0" borderId="0" xfId="0" applyFont="1" applyFill="1" applyBorder="1"/>
    <xf numFmtId="0" fontId="14" fillId="5" borderId="0" xfId="0" applyFont="1" applyFill="1" applyBorder="1"/>
    <xf numFmtId="0" fontId="11" fillId="0" borderId="0" xfId="17" applyFont="1" applyAlignment="1">
      <alignment horizontal="left" vertical="center" indent="1"/>
    </xf>
    <xf numFmtId="0" fontId="41" fillId="0" borderId="0" xfId="46" applyFont="1"/>
    <xf numFmtId="3" fontId="17" fillId="0" borderId="0" xfId="46" applyNumberFormat="1" applyFont="1" applyFill="1" applyBorder="1" applyAlignment="1">
      <alignment horizontal="left" vertical="center" wrapText="1" indent="1"/>
    </xf>
    <xf numFmtId="3" fontId="17" fillId="3" borderId="135" xfId="46" applyNumberFormat="1" applyFont="1" applyFill="1" applyBorder="1" applyAlignment="1">
      <alignment horizontal="left" vertical="center" wrapText="1"/>
    </xf>
    <xf numFmtId="3" fontId="17" fillId="0" borderId="135" xfId="46" applyNumberFormat="1" applyFont="1" applyFill="1" applyBorder="1" applyAlignment="1">
      <alignment horizontal="left" vertical="center" wrapText="1" indent="1"/>
    </xf>
    <xf numFmtId="9" fontId="15" fillId="6" borderId="135" xfId="14" applyFont="1" applyFill="1" applyBorder="1" applyAlignment="1">
      <alignment vertical="center"/>
    </xf>
    <xf numFmtId="9" fontId="15" fillId="0" borderId="135" xfId="14" applyFont="1" applyFill="1" applyBorder="1" applyAlignment="1">
      <alignment vertical="center"/>
    </xf>
    <xf numFmtId="0" fontId="131" fillId="0" borderId="0" xfId="46" applyFont="1" applyAlignment="1"/>
    <xf numFmtId="9" fontId="59" fillId="6" borderId="11" xfId="0" applyNumberFormat="1" applyFont="1" applyFill="1" applyBorder="1" applyAlignment="1">
      <alignment horizontal="center" vertical="center"/>
    </xf>
    <xf numFmtId="9" fontId="59" fillId="0" borderId="34" xfId="0" applyNumberFormat="1" applyFont="1" applyFill="1" applyBorder="1" applyAlignment="1">
      <alignment horizontal="center" vertical="center"/>
    </xf>
    <xf numFmtId="9" fontId="59" fillId="6" borderId="12" xfId="0" applyNumberFormat="1" applyFont="1" applyFill="1" applyBorder="1" applyAlignment="1">
      <alignment horizontal="center" vertical="center"/>
    </xf>
    <xf numFmtId="9" fontId="59" fillId="3" borderId="25" xfId="0" applyNumberFormat="1" applyFont="1" applyFill="1" applyBorder="1" applyAlignment="1">
      <alignment horizontal="center" vertical="center" wrapText="1"/>
    </xf>
    <xf numFmtId="9" fontId="59" fillId="6" borderId="34" xfId="0" applyNumberFormat="1" applyFont="1" applyFill="1" applyBorder="1" applyAlignment="1">
      <alignment horizontal="center" vertical="center" wrapText="1"/>
    </xf>
    <xf numFmtId="9" fontId="59" fillId="3" borderId="109" xfId="0" applyNumberFormat="1" applyFont="1" applyFill="1" applyBorder="1" applyAlignment="1">
      <alignment horizontal="center" vertical="center" wrapText="1"/>
    </xf>
    <xf numFmtId="9" fontId="59" fillId="6" borderId="25" xfId="0" applyNumberFormat="1" applyFont="1" applyFill="1" applyBorder="1" applyAlignment="1">
      <alignment horizontal="center" vertical="center" wrapText="1"/>
    </xf>
    <xf numFmtId="9" fontId="59" fillId="3" borderId="10" xfId="0" applyNumberFormat="1" applyFont="1" applyFill="1" applyBorder="1" applyAlignment="1">
      <alignment horizontal="center" vertical="center" wrapText="1"/>
    </xf>
    <xf numFmtId="41" fontId="15" fillId="6" borderId="71" xfId="0" applyNumberFormat="1" applyFont="1" applyFill="1" applyBorder="1" applyAlignment="1">
      <alignment horizontal="center" wrapText="1"/>
    </xf>
    <xf numFmtId="9" fontId="59" fillId="3" borderId="12" xfId="0" applyNumberFormat="1" applyFont="1" applyFill="1" applyBorder="1" applyAlignment="1">
      <alignment horizontal="center" vertical="center" wrapText="1"/>
    </xf>
    <xf numFmtId="9" fontId="59" fillId="6" borderId="135" xfId="69" applyNumberFormat="1" applyFont="1" applyFill="1" applyBorder="1" applyAlignment="1">
      <alignment horizontal="center" vertical="center" wrapText="1"/>
    </xf>
    <xf numFmtId="9" fontId="59" fillId="0" borderId="135" xfId="69" applyNumberFormat="1" applyFont="1" applyFill="1" applyBorder="1" applyAlignment="1">
      <alignment horizontal="center" vertical="center" wrapText="1"/>
    </xf>
    <xf numFmtId="0" fontId="139" fillId="6" borderId="6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 applyProtection="1">
      <alignment horizontal="left" vertical="top" wrapText="1"/>
      <protection locked="0" hidden="1"/>
    </xf>
    <xf numFmtId="0" fontId="7" fillId="0" borderId="135" xfId="60" applyFont="1" applyBorder="1" applyAlignment="1">
      <alignment horizontal="center" vertical="center"/>
    </xf>
    <xf numFmtId="0" fontId="135" fillId="0" borderId="135" xfId="60" applyFont="1" applyBorder="1" applyAlignment="1">
      <alignment horizontal="center" vertical="center" wrapText="1"/>
    </xf>
    <xf numFmtId="0" fontId="8" fillId="0" borderId="135" xfId="60" applyFont="1" applyBorder="1" applyAlignment="1">
      <alignment horizontal="left"/>
    </xf>
    <xf numFmtId="0" fontId="62" fillId="0" borderId="133" xfId="60" applyBorder="1" applyAlignment="1">
      <alignment horizontal="left"/>
    </xf>
    <xf numFmtId="0" fontId="62" fillId="0" borderId="134" xfId="60" applyBorder="1" applyAlignment="1">
      <alignment horizontal="left"/>
    </xf>
    <xf numFmtId="0" fontId="62" fillId="0" borderId="135" xfId="60" applyBorder="1" applyAlignment="1">
      <alignment horizontal="left"/>
    </xf>
    <xf numFmtId="0" fontId="7" fillId="0" borderId="11" xfId="60" applyFont="1" applyBorder="1" applyAlignment="1">
      <alignment horizontal="center" vertical="center"/>
    </xf>
    <xf numFmtId="0" fontId="7" fillId="0" borderId="14" xfId="60" applyFont="1" applyBorder="1" applyAlignment="1">
      <alignment horizontal="center" vertical="center"/>
    </xf>
    <xf numFmtId="0" fontId="8" fillId="0" borderId="71" xfId="60" applyFont="1" applyBorder="1" applyAlignment="1">
      <alignment horizontal="left" vertical="center" wrapText="1"/>
    </xf>
    <xf numFmtId="0" fontId="8" fillId="0" borderId="135" xfId="60" applyFont="1" applyBorder="1" applyAlignment="1">
      <alignment horizontal="left" vertical="center" wrapText="1"/>
    </xf>
    <xf numFmtId="0" fontId="62" fillId="0" borderId="72" xfId="60" applyBorder="1" applyAlignment="1">
      <alignment horizontal="left"/>
    </xf>
    <xf numFmtId="0" fontId="62" fillId="0" borderId="70" xfId="60" applyBorder="1" applyAlignment="1">
      <alignment horizontal="left"/>
    </xf>
    <xf numFmtId="0" fontId="62" fillId="0" borderId="103" xfId="60" applyBorder="1" applyAlignment="1">
      <alignment horizontal="left"/>
    </xf>
    <xf numFmtId="0" fontId="135" fillId="0" borderId="103" xfId="60" applyFont="1" applyBorder="1" applyAlignment="1">
      <alignment horizontal="center" vertical="center" wrapText="1"/>
    </xf>
    <xf numFmtId="0" fontId="62" fillId="0" borderId="103" xfId="60" applyBorder="1" applyAlignment="1">
      <alignment horizontal="left" wrapText="1"/>
    </xf>
    <xf numFmtId="0" fontId="7" fillId="0" borderId="109" xfId="60" applyFont="1" applyBorder="1" applyAlignment="1">
      <alignment horizontal="center" vertical="center"/>
    </xf>
    <xf numFmtId="0" fontId="7" fillId="0" borderId="71" xfId="60" applyFont="1" applyBorder="1" applyAlignment="1">
      <alignment horizontal="center" vertical="center"/>
    </xf>
    <xf numFmtId="0" fontId="62" fillId="0" borderId="71" xfId="60" applyBorder="1" applyAlignment="1">
      <alignment horizontal="left"/>
    </xf>
    <xf numFmtId="0" fontId="135" fillId="0" borderId="136" xfId="60" applyFont="1" applyBorder="1" applyAlignment="1">
      <alignment horizontal="center" vertical="center"/>
    </xf>
    <xf numFmtId="0" fontId="135" fillId="0" borderId="109" xfId="60" applyFont="1" applyBorder="1" applyAlignment="1">
      <alignment horizontal="center" vertical="center"/>
    </xf>
    <xf numFmtId="0" fontId="62" fillId="0" borderId="131" xfId="60" applyBorder="1" applyAlignment="1">
      <alignment horizontal="left" vertical="center" wrapText="1"/>
    </xf>
    <xf numFmtId="0" fontId="62" fillId="0" borderId="132" xfId="60" applyBorder="1" applyAlignment="1">
      <alignment horizontal="left" vertical="center" wrapText="1"/>
    </xf>
    <xf numFmtId="0" fontId="135" fillId="0" borderId="135" xfId="60" applyFont="1" applyBorder="1" applyAlignment="1">
      <alignment horizontal="center" vertical="center"/>
    </xf>
    <xf numFmtId="0" fontId="135" fillId="0" borderId="133" xfId="60" applyFont="1" applyBorder="1" applyAlignment="1">
      <alignment horizontal="center" vertical="center"/>
    </xf>
    <xf numFmtId="0" fontId="62" fillId="0" borderId="135" xfId="60" applyBorder="1" applyAlignment="1">
      <alignment horizontal="left" vertical="center"/>
    </xf>
    <xf numFmtId="0" fontId="135" fillId="0" borderId="134" xfId="60" applyFont="1" applyBorder="1" applyAlignment="1">
      <alignment horizontal="right" vertical="center"/>
    </xf>
    <xf numFmtId="0" fontId="7" fillId="0" borderId="136" xfId="60" applyFont="1" applyBorder="1" applyAlignment="1">
      <alignment horizontal="center" vertical="center"/>
    </xf>
    <xf numFmtId="0" fontId="64" fillId="0" borderId="135" xfId="60" applyFont="1" applyBorder="1" applyAlignment="1">
      <alignment horizontal="center" vertical="center"/>
    </xf>
    <xf numFmtId="0" fontId="64" fillId="0" borderId="136" xfId="60" applyFont="1" applyBorder="1" applyAlignment="1">
      <alignment horizontal="center" vertical="center"/>
    </xf>
    <xf numFmtId="0" fontId="7" fillId="0" borderId="96" xfId="60" applyFont="1" applyBorder="1" applyAlignment="1">
      <alignment horizontal="center" vertical="center"/>
    </xf>
    <xf numFmtId="0" fontId="7" fillId="0" borderId="97" xfId="60" applyFont="1" applyBorder="1" applyAlignment="1">
      <alignment horizontal="center" vertical="center"/>
    </xf>
    <xf numFmtId="0" fontId="7" fillId="0" borderId="99" xfId="60" applyFont="1" applyBorder="1" applyAlignment="1">
      <alignment horizontal="center" vertical="center"/>
    </xf>
    <xf numFmtId="0" fontId="7" fillId="0" borderId="71" xfId="60" applyFont="1" applyBorder="1" applyAlignment="1">
      <alignment horizontal="left" vertical="center"/>
    </xf>
    <xf numFmtId="0" fontId="7" fillId="0" borderId="83" xfId="60" applyFont="1" applyBorder="1" applyAlignment="1">
      <alignment horizontal="left" vertical="center"/>
    </xf>
    <xf numFmtId="0" fontId="33" fillId="0" borderId="71" xfId="60" applyFont="1" applyBorder="1" applyAlignment="1">
      <alignment horizontal="left" vertical="center"/>
    </xf>
    <xf numFmtId="0" fontId="168" fillId="0" borderId="71" xfId="60" applyFont="1" applyBorder="1" applyAlignment="1">
      <alignment horizontal="center" vertical="center" wrapText="1"/>
    </xf>
    <xf numFmtId="0" fontId="7" fillId="0" borderId="85" xfId="60" applyFont="1" applyBorder="1" applyAlignment="1">
      <alignment horizontal="center" vertical="center" wrapText="1"/>
    </xf>
    <xf numFmtId="0" fontId="7" fillId="0" borderId="71" xfId="60" applyFont="1" applyBorder="1" applyAlignment="1">
      <alignment horizontal="center" vertical="center" wrapText="1"/>
    </xf>
    <xf numFmtId="0" fontId="7" fillId="0" borderId="67" xfId="60" applyFont="1" applyBorder="1" applyAlignment="1">
      <alignment horizontal="center" vertical="center" wrapText="1"/>
    </xf>
    <xf numFmtId="0" fontId="168" fillId="0" borderId="85" xfId="60" applyFont="1" applyBorder="1" applyAlignment="1">
      <alignment horizontal="center" vertical="center" wrapText="1"/>
    </xf>
    <xf numFmtId="0" fontId="7" fillId="0" borderId="86" xfId="60" applyFont="1" applyBorder="1" applyAlignment="1">
      <alignment horizontal="center" vertical="center"/>
    </xf>
    <xf numFmtId="0" fontId="7" fillId="0" borderId="1" xfId="60" applyFont="1" applyBorder="1" applyAlignment="1">
      <alignment horizontal="center" vertical="center"/>
    </xf>
    <xf numFmtId="0" fontId="33" fillId="0" borderId="72" xfId="60" applyFont="1" applyBorder="1" applyAlignment="1">
      <alignment horizontal="left" vertical="top" wrapText="1"/>
    </xf>
    <xf numFmtId="0" fontId="33" fillId="0" borderId="69" xfId="60" applyFont="1" applyBorder="1" applyAlignment="1">
      <alignment horizontal="left" vertical="top" wrapText="1"/>
    </xf>
    <xf numFmtId="0" fontId="33" fillId="0" borderId="84" xfId="60" applyFont="1" applyBorder="1" applyAlignment="1">
      <alignment horizontal="left" vertical="top" wrapText="1"/>
    </xf>
    <xf numFmtId="0" fontId="33" fillId="0" borderId="71" xfId="60" applyFont="1" applyBorder="1" applyAlignment="1">
      <alignment horizontal="left" vertical="top" wrapText="1"/>
    </xf>
    <xf numFmtId="0" fontId="33" fillId="0" borderId="67" xfId="60" applyFont="1" applyBorder="1" applyAlignment="1">
      <alignment horizontal="left" vertical="center"/>
    </xf>
    <xf numFmtId="0" fontId="135" fillId="0" borderId="86" xfId="60" applyFont="1" applyBorder="1" applyAlignment="1">
      <alignment horizontal="center" vertical="center" wrapText="1"/>
    </xf>
    <xf numFmtId="0" fontId="135" fillId="0" borderId="1" xfId="60" applyFont="1" applyBorder="1" applyAlignment="1">
      <alignment horizontal="center" vertical="center" wrapText="1"/>
    </xf>
    <xf numFmtId="0" fontId="135" fillId="0" borderId="87" xfId="60" applyFont="1" applyBorder="1" applyAlignment="1">
      <alignment horizontal="center" vertical="center" wrapText="1"/>
    </xf>
    <xf numFmtId="0" fontId="7" fillId="0" borderId="41" xfId="60" applyFont="1" applyBorder="1" applyAlignment="1">
      <alignment horizontal="left" vertical="center"/>
    </xf>
    <xf numFmtId="0" fontId="7" fillId="0" borderId="30" xfId="60" applyFont="1" applyBorder="1" applyAlignment="1">
      <alignment horizontal="left" vertical="center"/>
    </xf>
    <xf numFmtId="0" fontId="135" fillId="0" borderId="135" xfId="60" applyFont="1" applyBorder="1" applyAlignment="1">
      <alignment horizontal="left" vertical="center" wrapText="1"/>
    </xf>
    <xf numFmtId="0" fontId="135" fillId="0" borderId="135" xfId="60" applyFont="1" applyBorder="1" applyAlignment="1">
      <alignment horizontal="right"/>
    </xf>
    <xf numFmtId="0" fontId="7" fillId="0" borderId="87" xfId="60" applyFont="1" applyBorder="1" applyAlignment="1">
      <alignment horizontal="center" vertical="center"/>
    </xf>
    <xf numFmtId="0" fontId="33" fillId="0" borderId="135" xfId="60" applyFont="1" applyBorder="1" applyAlignment="1">
      <alignment horizontal="left" wrapText="1"/>
    </xf>
    <xf numFmtId="0" fontId="33" fillId="0" borderId="135" xfId="60" applyFont="1" applyBorder="1" applyAlignment="1">
      <alignment horizontal="left"/>
    </xf>
    <xf numFmtId="0" fontId="8" fillId="0" borderId="133" xfId="60" applyFont="1" applyBorder="1" applyAlignment="1">
      <alignment horizontal="left" vertical="center" wrapText="1"/>
    </xf>
    <xf numFmtId="0" fontId="8" fillId="0" borderId="134" xfId="60" applyFont="1" applyBorder="1" applyAlignment="1">
      <alignment horizontal="left" vertical="center" wrapText="1"/>
    </xf>
    <xf numFmtId="0" fontId="8" fillId="0" borderId="133" xfId="60" applyFont="1" applyBorder="1" applyAlignment="1">
      <alignment horizontal="left"/>
    </xf>
    <xf numFmtId="0" fontId="8" fillId="0" borderId="134" xfId="60" applyFont="1" applyBorder="1" applyAlignment="1">
      <alignment horizontal="left"/>
    </xf>
    <xf numFmtId="0" fontId="62" fillId="0" borderId="135" xfId="60" applyBorder="1" applyAlignment="1">
      <alignment horizontal="left" wrapText="1"/>
    </xf>
    <xf numFmtId="0" fontId="7" fillId="0" borderId="113" xfId="60" applyFont="1" applyBorder="1" applyAlignment="1">
      <alignment horizontal="center" vertical="center"/>
    </xf>
    <xf numFmtId="0" fontId="7" fillId="0" borderId="0" xfId="60" applyFont="1" applyBorder="1" applyAlignment="1">
      <alignment horizontal="center" vertical="center"/>
    </xf>
    <xf numFmtId="0" fontId="168" fillId="0" borderId="103" xfId="60" applyFont="1" applyBorder="1" applyAlignment="1">
      <alignment horizontal="center" vertical="center" wrapText="1"/>
    </xf>
    <xf numFmtId="0" fontId="7" fillId="6" borderId="135" xfId="60" applyFont="1" applyFill="1" applyBorder="1" applyAlignment="1">
      <alignment horizontal="left" vertical="center"/>
    </xf>
    <xf numFmtId="0" fontId="33" fillId="0" borderId="135" xfId="60" applyFont="1" applyFill="1" applyBorder="1" applyAlignment="1">
      <alignment horizontal="left" vertical="center"/>
    </xf>
    <xf numFmtId="0" fontId="199" fillId="0" borderId="135" xfId="284" applyFont="1" applyBorder="1" applyAlignment="1" applyProtection="1">
      <alignment horizontal="left" vertical="center"/>
    </xf>
    <xf numFmtId="0" fontId="33" fillId="0" borderId="135" xfId="60" applyFont="1" applyFill="1" applyBorder="1" applyAlignment="1">
      <alignment horizontal="left" wrapText="1"/>
    </xf>
    <xf numFmtId="0" fontId="7" fillId="0" borderId="85" xfId="60" applyFont="1" applyBorder="1" applyAlignment="1">
      <alignment horizontal="left" vertical="center"/>
    </xf>
    <xf numFmtId="0" fontId="7" fillId="0" borderId="38" xfId="60" applyFont="1" applyBorder="1" applyAlignment="1">
      <alignment horizontal="left" vertical="center"/>
    </xf>
    <xf numFmtId="0" fontId="33" fillId="0" borderId="89" xfId="60" applyFont="1" applyBorder="1" applyAlignment="1">
      <alignment horizontal="left" vertical="top" wrapText="1"/>
    </xf>
    <xf numFmtId="0" fontId="33" fillId="0" borderId="90" xfId="60" applyFont="1" applyBorder="1" applyAlignment="1">
      <alignment horizontal="left" vertical="top" wrapText="1"/>
    </xf>
    <xf numFmtId="0" fontId="168" fillId="0" borderId="94" xfId="60" applyFont="1" applyBorder="1" applyAlignment="1">
      <alignment horizontal="center" vertical="center" wrapText="1"/>
    </xf>
    <xf numFmtId="0" fontId="168" fillId="0" borderId="95" xfId="60" applyFont="1" applyBorder="1" applyAlignment="1">
      <alignment horizontal="center" vertical="center" wrapText="1"/>
    </xf>
    <xf numFmtId="0" fontId="168" fillId="0" borderId="100" xfId="60" applyFont="1" applyBorder="1" applyAlignment="1">
      <alignment horizontal="center" vertical="center" wrapText="1"/>
    </xf>
    <xf numFmtId="0" fontId="168" fillId="0" borderId="67" xfId="60" applyFont="1" applyBorder="1" applyAlignment="1">
      <alignment horizontal="center" vertical="center" wrapText="1"/>
    </xf>
    <xf numFmtId="0" fontId="33" fillId="0" borderId="70" xfId="60" applyFont="1" applyBorder="1" applyAlignment="1">
      <alignment horizontal="left" vertical="top" wrapText="1"/>
    </xf>
    <xf numFmtId="0" fontId="135" fillId="0" borderId="11" xfId="60" applyFont="1" applyBorder="1" applyAlignment="1">
      <alignment horizontal="center" vertical="center" wrapText="1"/>
    </xf>
    <xf numFmtId="0" fontId="135" fillId="0" borderId="14" xfId="60" applyFont="1" applyBorder="1" applyAlignment="1">
      <alignment horizontal="center" vertical="center" wrapText="1"/>
    </xf>
    <xf numFmtId="0" fontId="135" fillId="0" borderId="88" xfId="60" applyFont="1" applyBorder="1" applyAlignment="1">
      <alignment horizontal="center" vertical="center" wrapText="1"/>
    </xf>
    <xf numFmtId="0" fontId="135" fillId="0" borderId="41" xfId="60" applyFont="1" applyBorder="1" applyAlignment="1">
      <alignment horizontal="center" vertical="center" wrapText="1"/>
    </xf>
    <xf numFmtId="0" fontId="135" fillId="0" borderId="71" xfId="60" applyFont="1" applyBorder="1" applyAlignment="1">
      <alignment horizontal="center" vertical="center" wrapText="1"/>
    </xf>
    <xf numFmtId="0" fontId="7" fillId="0" borderId="66" xfId="60" applyFont="1" applyBorder="1" applyAlignment="1">
      <alignment horizontal="center" vertical="center"/>
    </xf>
    <xf numFmtId="0" fontId="7" fillId="0" borderId="68" xfId="60" applyFont="1" applyBorder="1" applyAlignment="1">
      <alignment horizontal="center" vertical="center"/>
    </xf>
    <xf numFmtId="0" fontId="7" fillId="0" borderId="59" xfId="60" applyFont="1" applyBorder="1" applyAlignment="1">
      <alignment horizontal="left" vertical="center"/>
    </xf>
    <xf numFmtId="0" fontId="7" fillId="0" borderId="27" xfId="60" applyFont="1" applyBorder="1" applyAlignment="1">
      <alignment horizontal="left" vertical="center"/>
    </xf>
    <xf numFmtId="0" fontId="33" fillId="0" borderId="59" xfId="60" applyFont="1" applyBorder="1" applyAlignment="1">
      <alignment horizontal="left" vertical="top" wrapText="1"/>
    </xf>
    <xf numFmtId="0" fontId="135" fillId="6" borderId="39" xfId="60" applyFont="1" applyFill="1" applyBorder="1" applyAlignment="1">
      <alignment horizontal="center" vertical="center" wrapText="1"/>
    </xf>
    <xf numFmtId="0" fontId="135" fillId="6" borderId="42" xfId="60" applyFont="1" applyFill="1" applyBorder="1" applyAlignment="1">
      <alignment horizontal="center" vertical="center" wrapText="1"/>
    </xf>
    <xf numFmtId="0" fontId="135" fillId="6" borderId="40" xfId="60" applyFont="1" applyFill="1" applyBorder="1" applyAlignment="1">
      <alignment horizontal="center" vertical="center" wrapText="1"/>
    </xf>
    <xf numFmtId="0" fontId="33" fillId="6" borderId="41" xfId="60" applyFont="1" applyFill="1" applyBorder="1" applyAlignment="1">
      <alignment horizontal="left" vertical="center" wrapText="1"/>
    </xf>
    <xf numFmtId="0" fontId="135" fillId="0" borderId="39" xfId="60" applyFont="1" applyBorder="1" applyAlignment="1">
      <alignment horizontal="center" vertical="center" wrapText="1"/>
    </xf>
    <xf numFmtId="0" fontId="135" fillId="0" borderId="42" xfId="60" applyFont="1" applyBorder="1" applyAlignment="1">
      <alignment horizontal="center" vertical="center" wrapText="1"/>
    </xf>
    <xf numFmtId="0" fontId="33" fillId="0" borderId="11" xfId="60" applyFont="1" applyBorder="1" applyAlignment="1">
      <alignment horizontal="left" vertical="center"/>
    </xf>
    <xf numFmtId="0" fontId="33" fillId="0" borderId="59" xfId="60" applyFont="1" applyBorder="1" applyAlignment="1">
      <alignment horizontal="left" vertical="center"/>
    </xf>
    <xf numFmtId="0" fontId="7" fillId="0" borderId="41" xfId="60" applyFont="1" applyBorder="1" applyAlignment="1">
      <alignment horizontal="left"/>
    </xf>
    <xf numFmtId="0" fontId="135" fillId="0" borderId="40" xfId="60" applyFont="1" applyBorder="1" applyAlignment="1">
      <alignment horizontal="center" vertical="center" wrapText="1"/>
    </xf>
    <xf numFmtId="0" fontId="7" fillId="0" borderId="43" xfId="60" applyFont="1" applyBorder="1" applyAlignment="1">
      <alignment horizontal="center" vertical="center"/>
    </xf>
    <xf numFmtId="0" fontId="33" fillId="6" borderId="59" xfId="60" applyFont="1" applyFill="1" applyBorder="1" applyAlignment="1">
      <alignment horizontal="left" vertical="center" wrapText="1"/>
    </xf>
    <xf numFmtId="14" fontId="20" fillId="0" borderId="31" xfId="60" applyNumberFormat="1" applyFont="1" applyBorder="1" applyAlignment="1">
      <alignment horizontal="center" vertical="top" wrapText="1"/>
    </xf>
    <xf numFmtId="14" fontId="20" fillId="0" borderId="45" xfId="60" applyNumberFormat="1" applyFont="1" applyBorder="1" applyAlignment="1">
      <alignment horizontal="center" vertical="top" wrapText="1"/>
    </xf>
    <xf numFmtId="0" fontId="135" fillId="0" borderId="59" xfId="60" applyFont="1" applyBorder="1" applyAlignment="1">
      <alignment horizontal="center" vertical="center" wrapText="1"/>
    </xf>
    <xf numFmtId="0" fontId="33" fillId="0" borderId="59" xfId="60" applyFont="1" applyBorder="1" applyAlignment="1">
      <alignment horizontal="left" vertical="center" wrapText="1"/>
    </xf>
    <xf numFmtId="0" fontId="135" fillId="0" borderId="59" xfId="60" applyFont="1" applyBorder="1" applyAlignment="1">
      <alignment horizontal="left" vertical="center" wrapText="1"/>
    </xf>
    <xf numFmtId="14" fontId="20" fillId="0" borderId="31" xfId="60" applyNumberFormat="1" applyFont="1" applyBorder="1" applyAlignment="1">
      <alignment horizontal="left" vertical="top" wrapText="1"/>
    </xf>
    <xf numFmtId="14" fontId="130" fillId="0" borderId="59" xfId="60" applyNumberFormat="1" applyFont="1" applyBorder="1" applyAlignment="1">
      <alignment horizontal="left" vertical="center" wrapText="1"/>
    </xf>
    <xf numFmtId="14" fontId="130" fillId="0" borderId="27" xfId="60" applyNumberFormat="1" applyFont="1" applyBorder="1" applyAlignment="1">
      <alignment horizontal="left" vertical="center" wrapText="1"/>
    </xf>
    <xf numFmtId="170" fontId="130" fillId="0" borderId="59" xfId="287" applyNumberFormat="1" applyFont="1" applyBorder="1" applyAlignment="1">
      <alignment horizontal="left"/>
    </xf>
    <xf numFmtId="170" fontId="130" fillId="0" borderId="27" xfId="287" applyNumberFormat="1" applyFont="1" applyBorder="1" applyAlignment="1">
      <alignment horizontal="left"/>
    </xf>
    <xf numFmtId="0" fontId="168" fillId="0" borderId="11" xfId="60" applyFont="1" applyBorder="1" applyAlignment="1">
      <alignment horizontal="center" vertical="center" wrapText="1"/>
    </xf>
    <xf numFmtId="0" fontId="168" fillId="0" borderId="14" xfId="60" applyFont="1" applyBorder="1" applyAlignment="1">
      <alignment horizontal="center" vertical="center" wrapText="1"/>
    </xf>
    <xf numFmtId="0" fontId="168" fillId="0" borderId="109" xfId="60" applyFont="1" applyBorder="1" applyAlignment="1">
      <alignment horizontal="center" vertical="center" wrapText="1"/>
    </xf>
    <xf numFmtId="0" fontId="124" fillId="0" borderId="135" xfId="284" applyBorder="1" applyAlignment="1" applyProtection="1">
      <alignment horizontal="left"/>
    </xf>
    <xf numFmtId="0" fontId="168" fillId="0" borderId="16" xfId="60" applyFont="1" applyBorder="1" applyAlignment="1">
      <alignment horizontal="center" vertical="center" wrapText="1"/>
    </xf>
    <xf numFmtId="0" fontId="168" fillId="0" borderId="1" xfId="60" applyFont="1" applyBorder="1" applyAlignment="1">
      <alignment horizontal="center" vertical="center" wrapText="1"/>
    </xf>
    <xf numFmtId="0" fontId="62" fillId="0" borderId="131" xfId="60" applyBorder="1" applyAlignment="1">
      <alignment horizontal="left"/>
    </xf>
    <xf numFmtId="0" fontId="62" fillId="0" borderId="132" xfId="60" applyBorder="1" applyAlignment="1">
      <alignment horizontal="left"/>
    </xf>
    <xf numFmtId="0" fontId="135" fillId="0" borderId="135" xfId="60" applyFont="1" applyBorder="1" applyAlignment="1">
      <alignment horizontal="right" vertical="center"/>
    </xf>
    <xf numFmtId="0" fontId="7" fillId="6" borderId="135" xfId="60" applyFont="1" applyFill="1" applyBorder="1" applyAlignment="1">
      <alignment horizontal="left"/>
    </xf>
    <xf numFmtId="0" fontId="62" fillId="0" borderId="135" xfId="60" applyBorder="1" applyAlignment="1">
      <alignment horizontal="left" vertical="center" wrapText="1"/>
    </xf>
    <xf numFmtId="0" fontId="62" fillId="0" borderId="72" xfId="60" applyBorder="1" applyAlignment="1">
      <alignment horizontal="center"/>
    </xf>
    <xf numFmtId="0" fontId="62" fillId="0" borderId="70" xfId="60" applyBorder="1" applyAlignment="1">
      <alignment horizontal="center"/>
    </xf>
    <xf numFmtId="0" fontId="7" fillId="0" borderId="19" xfId="60" applyFont="1" applyBorder="1" applyAlignment="1">
      <alignment horizontal="center" vertical="center"/>
    </xf>
    <xf numFmtId="0" fontId="1" fillId="0" borderId="135" xfId="60" applyFont="1" applyBorder="1" applyAlignment="1">
      <alignment horizontal="left" vertical="center" wrapText="1"/>
    </xf>
    <xf numFmtId="0" fontId="8" fillId="0" borderId="135" xfId="60" applyFont="1" applyBorder="1" applyAlignment="1">
      <alignment horizontal="left" wrapText="1"/>
    </xf>
    <xf numFmtId="0" fontId="8" fillId="0" borderId="137" xfId="60" applyFont="1" applyBorder="1" applyAlignment="1">
      <alignment horizontal="left"/>
    </xf>
    <xf numFmtId="0" fontId="135" fillId="0" borderId="136" xfId="60" applyFont="1" applyBorder="1" applyAlignment="1">
      <alignment horizontal="center" vertical="center" wrapText="1"/>
    </xf>
    <xf numFmtId="0" fontId="135" fillId="0" borderId="109" xfId="60" applyFont="1" applyBorder="1" applyAlignment="1">
      <alignment horizontal="center" vertical="center" wrapText="1"/>
    </xf>
    <xf numFmtId="0" fontId="8" fillId="0" borderId="71" xfId="60" applyFont="1" applyBorder="1" applyAlignment="1">
      <alignment horizontal="left"/>
    </xf>
    <xf numFmtId="0" fontId="8" fillId="0" borderId="103" xfId="60" applyFont="1" applyBorder="1" applyAlignment="1">
      <alignment horizontal="left"/>
    </xf>
    <xf numFmtId="0" fontId="62" fillId="0" borderId="136" xfId="60" applyBorder="1" applyAlignment="1">
      <alignment horizontal="center"/>
    </xf>
    <xf numFmtId="0" fontId="62" fillId="0" borderId="17" xfId="60" applyBorder="1" applyAlignment="1">
      <alignment horizontal="left"/>
    </xf>
    <xf numFmtId="0" fontId="62" fillId="0" borderId="16" xfId="60" applyBorder="1" applyAlignment="1">
      <alignment horizontal="left"/>
    </xf>
    <xf numFmtId="0" fontId="62" fillId="0" borderId="71" xfId="60" applyBorder="1" applyAlignment="1">
      <alignment horizontal="left" wrapText="1"/>
    </xf>
    <xf numFmtId="0" fontId="135" fillId="0" borderId="103" xfId="6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132" fillId="0" borderId="0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horizontal="center"/>
    </xf>
    <xf numFmtId="0" fontId="0" fillId="0" borderId="71" xfId="0" applyBorder="1" applyAlignment="1">
      <alignment horizontal="center" wrapText="1"/>
    </xf>
    <xf numFmtId="0" fontId="0" fillId="0" borderId="133" xfId="0" applyBorder="1" applyAlignment="1">
      <alignment horizontal="center" wrapText="1"/>
    </xf>
    <xf numFmtId="0" fontId="0" fillId="0" borderId="134" xfId="0" applyBorder="1" applyAlignment="1">
      <alignment horizontal="center" wrapText="1"/>
    </xf>
    <xf numFmtId="0" fontId="0" fillId="4" borderId="71" xfId="0" applyFill="1" applyBorder="1" applyAlignment="1">
      <alignment horizontal="center" wrapText="1"/>
    </xf>
    <xf numFmtId="0" fontId="0" fillId="0" borderId="137" xfId="0" applyBorder="1" applyAlignment="1">
      <alignment horizontal="center" wrapText="1"/>
    </xf>
    <xf numFmtId="0" fontId="0" fillId="4" borderId="135" xfId="0" applyFill="1" applyBorder="1" applyAlignment="1">
      <alignment horizontal="center"/>
    </xf>
    <xf numFmtId="0" fontId="27" fillId="4" borderId="71" xfId="0" applyFont="1" applyFill="1" applyBorder="1" applyAlignment="1">
      <alignment horizontal="center"/>
    </xf>
    <xf numFmtId="0" fontId="27" fillId="4" borderId="133" xfId="0" applyFont="1" applyFill="1" applyBorder="1" applyAlignment="1">
      <alignment horizontal="center"/>
    </xf>
    <xf numFmtId="0" fontId="27" fillId="4" borderId="137" xfId="0" applyFont="1" applyFill="1" applyBorder="1" applyAlignment="1">
      <alignment horizontal="center"/>
    </xf>
    <xf numFmtId="0" fontId="27" fillId="4" borderId="134" xfId="0" applyFont="1" applyFill="1" applyBorder="1" applyAlignment="1">
      <alignment horizontal="center"/>
    </xf>
    <xf numFmtId="3" fontId="16" fillId="0" borderId="135" xfId="69" applyNumberFormat="1" applyFont="1" applyFill="1" applyBorder="1" applyAlignment="1" applyProtection="1">
      <alignment horizontal="center" vertical="center"/>
      <protection hidden="1"/>
    </xf>
    <xf numFmtId="3" fontId="59" fillId="0" borderId="136" xfId="69" applyNumberFormat="1" applyFont="1" applyFill="1" applyBorder="1" applyAlignment="1">
      <alignment horizontal="center" vertical="center" wrapText="1"/>
    </xf>
    <xf numFmtId="3" fontId="59" fillId="0" borderId="109" xfId="69" applyNumberFormat="1" applyFont="1" applyFill="1" applyBorder="1" applyAlignment="1">
      <alignment horizontal="center" vertical="center" wrapText="1"/>
    </xf>
    <xf numFmtId="3" fontId="18" fillId="4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5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3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0" xfId="69" applyNumberFormat="1" applyFont="1" applyFill="1" applyBorder="1" applyAlignment="1" applyProtection="1">
      <alignment horizontal="center" vertical="center"/>
      <protection hidden="1"/>
    </xf>
    <xf numFmtId="3" fontId="18" fillId="4" borderId="61" xfId="69" applyNumberFormat="1" applyFont="1" applyFill="1" applyBorder="1" applyAlignment="1" applyProtection="1">
      <alignment horizontal="center" vertical="center"/>
      <protection hidden="1"/>
    </xf>
    <xf numFmtId="3" fontId="18" fillId="4" borderId="62" xfId="69" applyNumberFormat="1" applyFont="1" applyFill="1" applyBorder="1" applyAlignment="1" applyProtection="1">
      <alignment horizontal="center" vertical="center"/>
      <protection hidden="1"/>
    </xf>
    <xf numFmtId="3" fontId="18" fillId="4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2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59" xfId="69" applyNumberFormat="1" applyFont="1" applyFill="1" applyBorder="1" applyAlignment="1" applyProtection="1">
      <alignment horizontal="center" vertical="center"/>
      <protection hidden="1"/>
    </xf>
    <xf numFmtId="3" fontId="59" fillId="0" borderId="105" xfId="69" applyNumberFormat="1" applyFont="1" applyFill="1" applyBorder="1" applyAlignment="1">
      <alignment horizontal="center" vertical="center" wrapText="1"/>
    </xf>
    <xf numFmtId="3" fontId="59" fillId="0" borderId="14" xfId="69" applyNumberFormat="1" applyFont="1" applyFill="1" applyBorder="1" applyAlignment="1">
      <alignment horizontal="center" vertical="center" wrapText="1"/>
    </xf>
    <xf numFmtId="3" fontId="25" fillId="0" borderId="105" xfId="7" applyNumberFormat="1" applyFont="1" applyFill="1" applyBorder="1" applyAlignment="1">
      <alignment horizontal="center" vertical="center" wrapText="1"/>
    </xf>
    <xf numFmtId="3" fontId="25" fillId="0" borderId="85" xfId="7" applyNumberFormat="1" applyFont="1" applyFill="1" applyBorder="1" applyAlignment="1">
      <alignment horizontal="center" vertical="center" wrapText="1"/>
    </xf>
    <xf numFmtId="3" fontId="18" fillId="4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7" xfId="69" applyNumberFormat="1" applyFont="1" applyFill="1" applyBorder="1" applyAlignment="1" applyProtection="1">
      <alignment horizontal="center" vertical="top"/>
      <protection hidden="1"/>
    </xf>
    <xf numFmtId="3" fontId="18" fillId="4" borderId="19" xfId="69" applyNumberFormat="1" applyFont="1" applyFill="1" applyBorder="1" applyAlignment="1" applyProtection="1">
      <alignment horizontal="center" vertical="top"/>
      <protection hidden="1"/>
    </xf>
    <xf numFmtId="3" fontId="18" fillId="4" borderId="16" xfId="69" applyNumberFormat="1" applyFont="1" applyFill="1" applyBorder="1" applyAlignment="1" applyProtection="1">
      <alignment horizontal="center" vertical="top"/>
      <protection hidden="1"/>
    </xf>
    <xf numFmtId="3" fontId="18" fillId="4" borderId="15" xfId="69" applyNumberFormat="1" applyFont="1" applyFill="1" applyBorder="1" applyAlignment="1" applyProtection="1">
      <alignment horizontal="center" vertical="top"/>
      <protection hidden="1"/>
    </xf>
    <xf numFmtId="3" fontId="18" fillId="4" borderId="2" xfId="69" applyNumberFormat="1" applyFont="1" applyFill="1" applyBorder="1" applyAlignment="1" applyProtection="1">
      <alignment horizontal="center" vertical="top"/>
      <protection hidden="1"/>
    </xf>
    <xf numFmtId="3" fontId="18" fillId="4" borderId="13" xfId="69" applyNumberFormat="1" applyFont="1" applyFill="1" applyBorder="1" applyAlignment="1" applyProtection="1">
      <alignment horizontal="center" vertical="top"/>
      <protection hidden="1"/>
    </xf>
    <xf numFmtId="3" fontId="18" fillId="61" borderId="60" xfId="69" applyNumberFormat="1" applyFont="1" applyFill="1" applyBorder="1" applyAlignment="1" applyProtection="1">
      <alignment horizontal="center" vertical="center"/>
      <protection hidden="1"/>
    </xf>
    <xf numFmtId="3" fontId="18" fillId="61" borderId="61" xfId="69" applyNumberFormat="1" applyFont="1" applyFill="1" applyBorder="1" applyAlignment="1" applyProtection="1">
      <alignment horizontal="center" vertical="center"/>
      <protection hidden="1"/>
    </xf>
    <xf numFmtId="3" fontId="18" fillId="61" borderId="62" xfId="69" applyNumberFormat="1" applyFont="1" applyFill="1" applyBorder="1" applyAlignment="1" applyProtection="1">
      <alignment horizontal="center" vertical="center"/>
      <protection hidden="1"/>
    </xf>
    <xf numFmtId="3" fontId="18" fillId="6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1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9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5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62" borderId="59" xfId="69" applyNumberFormat="1" applyFont="1" applyFill="1" applyBorder="1" applyAlignment="1" applyProtection="1">
      <alignment horizontal="center" vertical="top" wrapText="1"/>
      <protection hidden="1"/>
    </xf>
    <xf numFmtId="3" fontId="37" fillId="4" borderId="59" xfId="69" applyNumberFormat="1" applyFont="1" applyFill="1" applyBorder="1" applyAlignment="1" applyProtection="1">
      <alignment horizontal="center" vertical="center"/>
      <protection hidden="1"/>
    </xf>
    <xf numFmtId="3" fontId="16" fillId="4" borderId="135" xfId="69" applyNumberFormat="1" applyFont="1" applyFill="1" applyBorder="1" applyAlignment="1" applyProtection="1">
      <alignment horizontal="center" vertical="center"/>
      <protection hidden="1"/>
    </xf>
    <xf numFmtId="3" fontId="15" fillId="0" borderId="59" xfId="69" applyNumberFormat="1" applyFont="1" applyFill="1" applyBorder="1" applyAlignment="1" applyProtection="1">
      <alignment horizontal="center" vertical="center"/>
      <protection hidden="1"/>
    </xf>
    <xf numFmtId="3" fontId="37" fillId="0" borderId="59" xfId="69" applyNumberFormat="1" applyFont="1" applyBorder="1" applyAlignment="1" applyProtection="1">
      <alignment horizontal="center" vertical="center"/>
      <protection hidden="1"/>
    </xf>
    <xf numFmtId="3" fontId="17" fillId="6" borderId="71" xfId="46" applyNumberFormat="1" applyFont="1" applyFill="1" applyBorder="1" applyAlignment="1">
      <alignment horizontal="left" vertical="center" wrapText="1"/>
    </xf>
    <xf numFmtId="3" fontId="17" fillId="3" borderId="136" xfId="46" applyNumberFormat="1" applyFont="1" applyFill="1" applyBorder="1" applyAlignment="1">
      <alignment horizontal="left" vertical="center" wrapText="1"/>
    </xf>
    <xf numFmtId="3" fontId="37" fillId="0" borderId="134" xfId="69" applyNumberFormat="1" applyFont="1" applyBorder="1" applyAlignment="1" applyProtection="1">
      <alignment horizontal="center" vertical="center"/>
      <protection hidden="1"/>
    </xf>
    <xf numFmtId="3" fontId="16" fillId="0" borderId="59" xfId="69" applyNumberFormat="1" applyFont="1" applyFill="1" applyBorder="1" applyAlignment="1" applyProtection="1">
      <alignment vertical="center" wrapText="1"/>
      <protection hidden="1"/>
    </xf>
    <xf numFmtId="43" fontId="15" fillId="0" borderId="60" xfId="7" applyFont="1" applyFill="1" applyBorder="1" applyAlignment="1" applyProtection="1">
      <alignment horizontal="left" vertical="center" wrapText="1"/>
      <protection hidden="1"/>
    </xf>
    <xf numFmtId="43" fontId="15" fillId="0" borderId="62" xfId="7" applyFont="1" applyFill="1" applyBorder="1" applyAlignment="1" applyProtection="1">
      <alignment horizontal="left" vertical="center" wrapText="1"/>
      <protection hidden="1"/>
    </xf>
    <xf numFmtId="3" fontId="16" fillId="4" borderId="59" xfId="69" applyNumberFormat="1" applyFont="1" applyFill="1" applyBorder="1" applyAlignment="1" applyProtection="1">
      <alignment vertical="center" wrapText="1"/>
      <protection hidden="1"/>
    </xf>
    <xf numFmtId="3" fontId="37" fillId="4" borderId="134" xfId="69" applyNumberFormat="1" applyFont="1" applyFill="1" applyBorder="1" applyAlignment="1" applyProtection="1">
      <alignment horizontal="center" vertical="center"/>
      <protection hidden="1"/>
    </xf>
    <xf numFmtId="3" fontId="15" fillId="4" borderId="59" xfId="69" applyNumberFormat="1" applyFont="1" applyFill="1" applyBorder="1" applyAlignment="1" applyProtection="1">
      <alignment horizontal="center" vertical="center"/>
      <protection hidden="1"/>
    </xf>
    <xf numFmtId="3" fontId="15" fillId="4" borderId="11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4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2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1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7" xfId="69" applyNumberFormat="1" applyFont="1" applyFill="1" applyBorder="1" applyAlignment="1" applyProtection="1">
      <alignment horizontal="center" vertical="top"/>
      <protection hidden="1"/>
    </xf>
    <xf numFmtId="3" fontId="18" fillId="6" borderId="19" xfId="69" applyNumberFormat="1" applyFont="1" applyFill="1" applyBorder="1" applyAlignment="1" applyProtection="1">
      <alignment horizontal="center" vertical="top"/>
      <protection hidden="1"/>
    </xf>
    <xf numFmtId="3" fontId="18" fillId="6" borderId="16" xfId="69" applyNumberFormat="1" applyFont="1" applyFill="1" applyBorder="1" applyAlignment="1" applyProtection="1">
      <alignment horizontal="center" vertical="top"/>
      <protection hidden="1"/>
    </xf>
    <xf numFmtId="3" fontId="18" fillId="6" borderId="15" xfId="69" applyNumberFormat="1" applyFont="1" applyFill="1" applyBorder="1" applyAlignment="1" applyProtection="1">
      <alignment horizontal="center" vertical="top"/>
      <protection hidden="1"/>
    </xf>
    <xf numFmtId="3" fontId="18" fillId="6" borderId="2" xfId="69" applyNumberFormat="1" applyFont="1" applyFill="1" applyBorder="1" applyAlignment="1" applyProtection="1">
      <alignment horizontal="center" vertical="top"/>
      <protection hidden="1"/>
    </xf>
    <xf numFmtId="3" fontId="18" fillId="6" borderId="13" xfId="69" applyNumberFormat="1" applyFont="1" applyFill="1" applyBorder="1" applyAlignment="1" applyProtection="1">
      <alignment horizontal="center" vertical="top"/>
      <protection hidden="1"/>
    </xf>
    <xf numFmtId="3" fontId="18" fillId="63" borderId="59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3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63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3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59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59" xfId="69" applyNumberFormat="1" applyFont="1" applyFill="1" applyBorder="1" applyAlignment="1" applyProtection="1">
      <alignment horizontal="center" vertical="center"/>
      <protection hidden="1"/>
    </xf>
    <xf numFmtId="3" fontId="18" fillId="5" borderId="133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37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34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8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107" xfId="69" applyNumberFormat="1" applyFont="1" applyFill="1" applyBorder="1" applyAlignment="1" applyProtection="1">
      <alignment horizontal="center" vertical="center"/>
      <protection hidden="1"/>
    </xf>
    <xf numFmtId="3" fontId="18" fillId="58" borderId="19" xfId="69" applyNumberFormat="1" applyFont="1" applyFill="1" applyBorder="1" applyAlignment="1" applyProtection="1">
      <alignment horizontal="center" vertical="center"/>
      <protection hidden="1"/>
    </xf>
    <xf numFmtId="3" fontId="18" fillId="58" borderId="102" xfId="69" applyNumberFormat="1" applyFont="1" applyFill="1" applyBorder="1" applyAlignment="1" applyProtection="1">
      <alignment horizontal="center" vertical="center"/>
      <protection hidden="1"/>
    </xf>
    <xf numFmtId="3" fontId="18" fillId="61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2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59" xfId="69" applyNumberFormat="1" applyFont="1" applyFill="1" applyBorder="1" applyAlignment="1" applyProtection="1">
      <alignment horizontal="center" vertical="center"/>
      <protection hidden="1"/>
    </xf>
    <xf numFmtId="3" fontId="15" fillId="0" borderId="11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4" xfId="69" applyNumberFormat="1" applyFont="1" applyFill="1" applyBorder="1" applyAlignment="1" applyProtection="1">
      <alignment horizontal="center" vertical="center" wrapText="1"/>
      <protection hidden="1"/>
    </xf>
    <xf numFmtId="3" fontId="37" fillId="0" borderId="135" xfId="69" applyNumberFormat="1" applyFont="1" applyBorder="1" applyAlignment="1" applyProtection="1">
      <alignment horizontal="center" vertical="center"/>
      <protection hidden="1"/>
    </xf>
    <xf numFmtId="0" fontId="0" fillId="0" borderId="59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70" xfId="0" applyBorder="1" applyAlignment="1">
      <alignment horizontal="center"/>
    </xf>
    <xf numFmtId="3" fontId="18" fillId="5" borderId="135" xfId="46" applyNumberFormat="1" applyFont="1" applyFill="1" applyBorder="1" applyAlignment="1">
      <alignment horizontal="center" vertical="center" wrapText="1"/>
    </xf>
    <xf numFmtId="3" fontId="18" fillId="5" borderId="135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35" xfId="69" applyNumberFormat="1" applyFont="1" applyFill="1" applyBorder="1" applyAlignment="1" applyProtection="1">
      <alignment horizontal="center" vertical="center"/>
      <protection hidden="1"/>
    </xf>
    <xf numFmtId="3" fontId="15" fillId="0" borderId="135" xfId="46" applyNumberFormat="1" applyFont="1" applyBorder="1" applyAlignment="1">
      <alignment horizontal="center" vertical="center" wrapText="1"/>
    </xf>
    <xf numFmtId="3" fontId="59" fillId="0" borderId="103" xfId="69" applyNumberFormat="1" applyFont="1" applyFill="1" applyBorder="1" applyAlignment="1">
      <alignment horizontal="center" vertical="center" wrapText="1"/>
    </xf>
    <xf numFmtId="3" fontId="16" fillId="0" borderId="103" xfId="69" applyNumberFormat="1" applyFont="1" applyFill="1" applyBorder="1" applyAlignment="1" applyProtection="1">
      <alignment vertical="center" wrapText="1"/>
      <protection hidden="1"/>
    </xf>
    <xf numFmtId="3" fontId="15" fillId="0" borderId="103" xfId="69" applyNumberFormat="1" applyFont="1" applyFill="1" applyBorder="1" applyAlignment="1" applyProtection="1">
      <alignment horizontal="center" vertical="center" wrapText="1"/>
      <protection hidden="1"/>
    </xf>
    <xf numFmtId="0" fontId="16" fillId="0" borderId="135" xfId="46" applyFont="1" applyFill="1" applyBorder="1" applyAlignment="1">
      <alignment horizontal="center" vertical="center" wrapText="1"/>
    </xf>
    <xf numFmtId="0" fontId="16" fillId="3" borderId="135" xfId="46" applyFont="1" applyFill="1" applyBorder="1" applyAlignment="1">
      <alignment horizontal="center" vertical="top" wrapText="1"/>
    </xf>
    <xf numFmtId="0" fontId="12" fillId="0" borderId="135" xfId="0" applyFont="1" applyBorder="1" applyAlignment="1">
      <alignment horizontal="center" vertical="center" wrapText="1"/>
    </xf>
    <xf numFmtId="0" fontId="0" fillId="0" borderId="135" xfId="0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9" xfId="0" applyBorder="1" applyAlignment="1">
      <alignment horizontal="center"/>
    </xf>
    <xf numFmtId="0" fontId="14" fillId="0" borderId="198" xfId="46" applyFont="1" applyFill="1" applyBorder="1" applyAlignment="1">
      <alignment horizontal="center" vertical="center"/>
    </xf>
    <xf numFmtId="0" fontId="14" fillId="0" borderId="199" xfId="46" applyFont="1" applyFill="1" applyBorder="1" applyAlignment="1">
      <alignment horizontal="center" vertical="center"/>
    </xf>
    <xf numFmtId="0" fontId="14" fillId="0" borderId="200" xfId="46" applyFont="1" applyFill="1" applyBorder="1" applyAlignment="1">
      <alignment horizontal="center" vertical="center"/>
    </xf>
    <xf numFmtId="0" fontId="14" fillId="3" borderId="198" xfId="46" applyFont="1" applyFill="1" applyBorder="1" applyAlignment="1">
      <alignment horizontal="center" vertical="center" wrapText="1"/>
    </xf>
    <xf numFmtId="0" fontId="14" fillId="3" borderId="199" xfId="46" applyFont="1" applyFill="1" applyBorder="1" applyAlignment="1">
      <alignment horizontal="center" vertical="center" wrapText="1"/>
    </xf>
    <xf numFmtId="0" fontId="14" fillId="3" borderId="200" xfId="46" applyFont="1" applyFill="1" applyBorder="1" applyAlignment="1">
      <alignment horizontal="center" vertical="center" wrapText="1"/>
    </xf>
    <xf numFmtId="0" fontId="14" fillId="3" borderId="109" xfId="46" applyFont="1" applyFill="1" applyBorder="1" applyAlignment="1">
      <alignment horizontal="center" vertical="center" wrapText="1"/>
    </xf>
    <xf numFmtId="0" fontId="14" fillId="0" borderId="109" xfId="46" applyFont="1" applyFill="1" applyBorder="1" applyAlignment="1">
      <alignment horizontal="center" vertical="center" wrapText="1"/>
    </xf>
    <xf numFmtId="0" fontId="14" fillId="0" borderId="211" xfId="46" applyFont="1" applyFill="1" applyBorder="1" applyAlignment="1">
      <alignment horizontal="center" vertical="center"/>
    </xf>
    <xf numFmtId="0" fontId="14" fillId="0" borderId="210" xfId="46" applyFont="1" applyFill="1" applyBorder="1" applyAlignment="1">
      <alignment horizontal="center" vertical="center"/>
    </xf>
    <xf numFmtId="0" fontId="14" fillId="0" borderId="212" xfId="46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7" fontId="16" fillId="0" borderId="135" xfId="0" applyNumberFormat="1" applyFont="1" applyFill="1" applyBorder="1" applyAlignment="1">
      <alignment horizontal="center" vertical="center" wrapText="1"/>
    </xf>
    <xf numFmtId="0" fontId="16" fillId="0" borderId="133" xfId="46" applyFont="1" applyFill="1" applyBorder="1" applyAlignment="1">
      <alignment horizontal="center" vertical="center" wrapText="1"/>
    </xf>
    <xf numFmtId="0" fontId="16" fillId="0" borderId="137" xfId="46" applyFont="1" applyFill="1" applyBorder="1" applyAlignment="1">
      <alignment horizontal="center" vertical="center" wrapText="1"/>
    </xf>
    <xf numFmtId="0" fontId="16" fillId="0" borderId="134" xfId="46" applyFont="1" applyFill="1" applyBorder="1" applyAlignment="1">
      <alignment horizontal="center" vertical="center" wrapText="1"/>
    </xf>
    <xf numFmtId="0" fontId="14" fillId="0" borderId="150" xfId="46" applyFont="1" applyBorder="1" applyAlignment="1">
      <alignment horizontal="center" vertical="center"/>
    </xf>
    <xf numFmtId="0" fontId="14" fillId="0" borderId="174" xfId="46" applyFont="1" applyBorder="1" applyAlignment="1">
      <alignment horizontal="center" vertical="center"/>
    </xf>
    <xf numFmtId="0" fontId="0" fillId="0" borderId="135" xfId="0" applyBorder="1" applyAlignment="1">
      <alignment horizontal="center"/>
    </xf>
    <xf numFmtId="43" fontId="0" fillId="0" borderId="135" xfId="77" applyFont="1" applyBorder="1" applyAlignment="1">
      <alignment horizontal="center" vertical="center"/>
    </xf>
    <xf numFmtId="0" fontId="12" fillId="0" borderId="135" xfId="0" applyFont="1" applyBorder="1" applyAlignment="1">
      <alignment horizontal="center" vertical="center"/>
    </xf>
    <xf numFmtId="0" fontId="0" fillId="0" borderId="104" xfId="0" applyFill="1" applyBorder="1" applyAlignment="1">
      <alignment horizontal="left" vertical="center" wrapText="1"/>
    </xf>
    <xf numFmtId="0" fontId="0" fillId="0" borderId="69" xfId="0" applyFill="1" applyBorder="1" applyAlignment="1">
      <alignment horizontal="left" vertical="center" wrapText="1"/>
    </xf>
    <xf numFmtId="0" fontId="0" fillId="0" borderId="108" xfId="0" applyFill="1" applyBorder="1" applyAlignment="1">
      <alignment horizontal="left" vertical="center" wrapText="1"/>
    </xf>
    <xf numFmtId="0" fontId="0" fillId="0" borderId="72" xfId="0" applyFill="1" applyBorder="1" applyAlignment="1">
      <alignment horizontal="left" vertical="center" wrapText="1"/>
    </xf>
    <xf numFmtId="0" fontId="0" fillId="0" borderId="70" xfId="0" applyFill="1" applyBorder="1" applyAlignment="1">
      <alignment horizontal="left" vertical="center" wrapText="1"/>
    </xf>
    <xf numFmtId="0" fontId="0" fillId="0" borderId="103" xfId="0" applyBorder="1" applyAlignment="1">
      <alignment vertical="center"/>
    </xf>
    <xf numFmtId="0" fontId="0" fillId="0" borderId="103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69" xfId="0" applyFont="1" applyFill="1" applyBorder="1" applyAlignment="1">
      <alignment horizontal="center" vertical="center"/>
    </xf>
    <xf numFmtId="0" fontId="0" fillId="0" borderId="108" xfId="0" applyFont="1" applyFill="1" applyBorder="1" applyAlignment="1">
      <alignment horizontal="center" vertical="center"/>
    </xf>
    <xf numFmtId="0" fontId="0" fillId="0" borderId="70" xfId="0" applyFont="1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0" fillId="0" borderId="108" xfId="0" applyFill="1" applyBorder="1" applyAlignment="1">
      <alignment horizontal="center" vertical="center"/>
    </xf>
    <xf numFmtId="0" fontId="0" fillId="0" borderId="103" xfId="0" applyFont="1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135" xfId="0" applyFill="1" applyBorder="1" applyAlignment="1">
      <alignment horizontal="center" vertical="center"/>
    </xf>
    <xf numFmtId="0" fontId="0" fillId="0" borderId="135" xfId="0" applyFont="1" applyFill="1" applyBorder="1" applyAlignment="1">
      <alignment horizontal="center" vertical="center"/>
    </xf>
    <xf numFmtId="0" fontId="0" fillId="0" borderId="133" xfId="0" applyFill="1" applyBorder="1" applyAlignment="1">
      <alignment horizontal="center" vertical="center"/>
    </xf>
    <xf numFmtId="0" fontId="0" fillId="0" borderId="134" xfId="0" applyFill="1" applyBorder="1" applyAlignment="1">
      <alignment horizontal="center" vertical="center"/>
    </xf>
    <xf numFmtId="0" fontId="12" fillId="0" borderId="103" xfId="0" applyFont="1" applyBorder="1" applyAlignment="1">
      <alignment horizontal="center" wrapText="1"/>
    </xf>
    <xf numFmtId="0" fontId="0" fillId="0" borderId="103" xfId="0" applyFill="1" applyBorder="1" applyAlignment="1">
      <alignment horizontal="center" vertical="center"/>
    </xf>
    <xf numFmtId="0" fontId="14" fillId="6" borderId="135" xfId="0" applyFont="1" applyFill="1" applyBorder="1" applyAlignment="1">
      <alignment horizontal="center" vertical="center"/>
    </xf>
    <xf numFmtId="0" fontId="17" fillId="0" borderId="135" xfId="0" applyFont="1" applyFill="1" applyBorder="1" applyAlignment="1">
      <alignment horizontal="left" vertical="center" wrapText="1"/>
    </xf>
    <xf numFmtId="0" fontId="30" fillId="8" borderId="135" xfId="0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30" fillId="8" borderId="17" xfId="0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 wrapText="1"/>
    </xf>
    <xf numFmtId="0" fontId="30" fillId="8" borderId="16" xfId="0" applyFont="1" applyFill="1" applyBorder="1" applyAlignment="1">
      <alignment horizontal="center" vertical="center" wrapText="1"/>
    </xf>
    <xf numFmtId="0" fontId="30" fillId="0" borderId="135" xfId="0" applyFont="1" applyBorder="1" applyAlignment="1">
      <alignment horizontal="center" vertical="center" wrapText="1"/>
    </xf>
    <xf numFmtId="0" fontId="14" fillId="3" borderId="135" xfId="6" applyFont="1" applyFill="1" applyBorder="1" applyAlignment="1">
      <alignment horizontal="center" vertical="center" textRotation="90" wrapText="1"/>
    </xf>
    <xf numFmtId="0" fontId="17" fillId="6" borderId="135" xfId="0" applyFont="1" applyFill="1" applyBorder="1" applyAlignment="1">
      <alignment horizontal="left" vertical="center" wrapText="1"/>
    </xf>
    <xf numFmtId="41" fontId="16" fillId="6" borderId="15" xfId="0" applyNumberFormat="1" applyFont="1" applyFill="1" applyBorder="1" applyAlignment="1">
      <alignment horizontal="left" vertical="center" wrapText="1"/>
    </xf>
    <xf numFmtId="41" fontId="16" fillId="6" borderId="13" xfId="0" applyNumberFormat="1" applyFont="1" applyFill="1" applyBorder="1" applyAlignment="1">
      <alignment horizontal="left" vertical="center" wrapText="1"/>
    </xf>
    <xf numFmtId="0" fontId="11" fillId="0" borderId="0" xfId="13" applyFont="1" applyFill="1" applyAlignment="1">
      <alignment horizontal="left" vertical="center" wrapText="1"/>
    </xf>
    <xf numFmtId="0" fontId="39" fillId="0" borderId="35" xfId="0" applyFont="1" applyFill="1" applyBorder="1" applyAlignment="1">
      <alignment horizontal="left" vertical="center" wrapText="1" indent="1"/>
    </xf>
    <xf numFmtId="0" fontId="39" fillId="0" borderId="37" xfId="0" applyFont="1" applyFill="1" applyBorder="1" applyAlignment="1">
      <alignment horizontal="left" vertical="center" wrapText="1" indent="1"/>
    </xf>
    <xf numFmtId="0" fontId="39" fillId="0" borderId="36" xfId="0" applyFont="1" applyFill="1" applyBorder="1" applyAlignment="1">
      <alignment horizontal="left" vertical="center" wrapText="1" indent="1"/>
    </xf>
    <xf numFmtId="0" fontId="39" fillId="6" borderId="24" xfId="0" applyFont="1" applyFill="1" applyBorder="1" applyAlignment="1">
      <alignment horizontal="left" vertical="center" wrapText="1" indent="1"/>
    </xf>
    <xf numFmtId="0" fontId="39" fillId="6" borderId="26" xfId="0" applyFont="1" applyFill="1" applyBorder="1" applyAlignment="1">
      <alignment horizontal="left" vertical="center" wrapText="1" indent="1"/>
    </xf>
    <xf numFmtId="0" fontId="39" fillId="6" borderId="22" xfId="0" applyFont="1" applyFill="1" applyBorder="1" applyAlignment="1">
      <alignment horizontal="left" vertical="center" wrapText="1" indent="1"/>
    </xf>
    <xf numFmtId="0" fontId="16" fillId="3" borderId="35" xfId="0" applyFont="1" applyFill="1" applyBorder="1" applyAlignment="1">
      <alignment horizontal="left" vertical="center" wrapText="1" indent="1"/>
    </xf>
    <xf numFmtId="0" fontId="16" fillId="3" borderId="37" xfId="0" applyFont="1" applyFill="1" applyBorder="1" applyAlignment="1">
      <alignment horizontal="left" vertical="center" wrapText="1" indent="1"/>
    </xf>
    <xf numFmtId="0" fontId="16" fillId="3" borderId="147" xfId="0" applyFont="1" applyFill="1" applyBorder="1" applyAlignment="1">
      <alignment horizontal="left" vertical="center" wrapText="1" indent="1"/>
    </xf>
    <xf numFmtId="41" fontId="16" fillId="6" borderId="143" xfId="0" applyNumberFormat="1" applyFont="1" applyFill="1" applyBorder="1" applyAlignment="1">
      <alignment horizontal="left" vertical="center" wrapText="1"/>
    </xf>
    <xf numFmtId="41" fontId="16" fillId="6" borderId="145" xfId="0" applyNumberFormat="1" applyFont="1" applyFill="1" applyBorder="1" applyAlignment="1">
      <alignment horizontal="left" vertical="center" wrapText="1"/>
    </xf>
    <xf numFmtId="41" fontId="16" fillId="0" borderId="188" xfId="0" applyNumberFormat="1" applyFont="1" applyFill="1" applyBorder="1" applyAlignment="1">
      <alignment horizontal="left" vertical="center" wrapText="1"/>
    </xf>
    <xf numFmtId="41" fontId="16" fillId="0" borderId="189" xfId="0" applyNumberFormat="1" applyFont="1" applyFill="1" applyBorder="1" applyAlignment="1">
      <alignment horizontal="left" vertical="center" wrapText="1"/>
    </xf>
    <xf numFmtId="41" fontId="16" fillId="6" borderId="109" xfId="0" applyNumberFormat="1" applyFont="1" applyFill="1" applyBorder="1" applyAlignment="1">
      <alignment horizontal="left" vertical="center" wrapText="1"/>
    </xf>
    <xf numFmtId="0" fontId="16" fillId="6" borderId="131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wrapText="1"/>
    </xf>
    <xf numFmtId="0" fontId="16" fillId="6" borderId="132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193" xfId="0" applyFont="1" applyFill="1" applyBorder="1" applyAlignment="1">
      <alignment horizontal="center" vertical="center" wrapText="1"/>
    </xf>
    <xf numFmtId="0" fontId="16" fillId="6" borderId="191" xfId="0" applyFont="1" applyFill="1" applyBorder="1" applyAlignment="1">
      <alignment horizontal="center" vertical="center" wrapText="1"/>
    </xf>
    <xf numFmtId="0" fontId="16" fillId="6" borderId="194" xfId="0" applyFont="1" applyFill="1" applyBorder="1" applyAlignment="1">
      <alignment horizontal="center" vertical="center" wrapText="1"/>
    </xf>
    <xf numFmtId="0" fontId="16" fillId="6" borderId="71" xfId="0" applyFont="1" applyFill="1" applyBorder="1" applyAlignment="1">
      <alignment horizontal="center" vertical="center" wrapText="1"/>
    </xf>
    <xf numFmtId="0" fontId="16" fillId="6" borderId="135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 wrapText="1" indent="1"/>
    </xf>
    <xf numFmtId="0" fontId="16" fillId="0" borderId="35" xfId="0" applyFont="1" applyFill="1" applyBorder="1" applyAlignment="1">
      <alignment horizontal="left" vertical="center" wrapText="1" indent="1"/>
    </xf>
    <xf numFmtId="0" fontId="16" fillId="0" borderId="36" xfId="0" applyFont="1" applyFill="1" applyBorder="1" applyAlignment="1">
      <alignment horizontal="left" vertical="center" wrapText="1" indent="1"/>
    </xf>
    <xf numFmtId="0" fontId="39" fillId="6" borderId="143" xfId="0" applyFont="1" applyFill="1" applyBorder="1" applyAlignment="1">
      <alignment horizontal="left" vertical="center" wrapText="1" indent="1"/>
    </xf>
    <xf numFmtId="0" fontId="39" fillId="6" borderId="144" xfId="0" applyFont="1" applyFill="1" applyBorder="1" applyAlignment="1">
      <alignment horizontal="left" vertical="center" wrapText="1" indent="1"/>
    </xf>
    <xf numFmtId="0" fontId="39" fillId="6" borderId="145" xfId="0" applyFont="1" applyFill="1" applyBorder="1" applyAlignment="1">
      <alignment horizontal="left" vertical="center" wrapText="1" indent="1"/>
    </xf>
    <xf numFmtId="0" fontId="16" fillId="6" borderId="143" xfId="0" applyFont="1" applyFill="1" applyBorder="1" applyAlignment="1">
      <alignment horizontal="left" vertical="center" wrapText="1" indent="1"/>
    </xf>
    <xf numFmtId="0" fontId="16" fillId="6" borderId="144" xfId="0" applyFont="1" applyFill="1" applyBorder="1" applyAlignment="1">
      <alignment horizontal="left" vertical="center" wrapText="1" indent="1"/>
    </xf>
    <xf numFmtId="0" fontId="16" fillId="6" borderId="145" xfId="0" applyFont="1" applyFill="1" applyBorder="1" applyAlignment="1">
      <alignment horizontal="left" vertical="center" wrapText="1" indent="1"/>
    </xf>
    <xf numFmtId="0" fontId="16" fillId="3" borderId="24" xfId="0" applyFont="1" applyFill="1" applyBorder="1" applyAlignment="1">
      <alignment horizontal="left" vertical="center" wrapText="1" indent="1"/>
    </xf>
    <xf numFmtId="0" fontId="16" fillId="3" borderId="26" xfId="0" applyFont="1" applyFill="1" applyBorder="1" applyAlignment="1">
      <alignment horizontal="left" vertical="center" wrapText="1" indent="1"/>
    </xf>
    <xf numFmtId="0" fontId="16" fillId="3" borderId="22" xfId="0" applyFont="1" applyFill="1" applyBorder="1" applyAlignment="1">
      <alignment horizontal="left" vertical="center" wrapText="1" indent="1"/>
    </xf>
    <xf numFmtId="0" fontId="11" fillId="0" borderId="0" xfId="13" applyFont="1" applyFill="1" applyAlignment="1">
      <alignment horizontal="left" vertical="center" wrapText="1" indent="4"/>
    </xf>
    <xf numFmtId="0" fontId="16" fillId="0" borderId="135" xfId="0" applyFont="1" applyFill="1" applyBorder="1" applyAlignment="1">
      <alignment horizontal="center" vertical="center" wrapText="1"/>
    </xf>
    <xf numFmtId="41" fontId="16" fillId="0" borderId="135" xfId="0" applyNumberFormat="1" applyFont="1" applyFill="1" applyBorder="1" applyAlignment="1">
      <alignment horizontal="left" vertical="center" wrapText="1"/>
    </xf>
    <xf numFmtId="0" fontId="17" fillId="0" borderId="135" xfId="0" applyFont="1" applyFill="1" applyBorder="1" applyAlignment="1">
      <alignment horizontal="left" vertical="center" wrapText="1" indent="1"/>
    </xf>
    <xf numFmtId="0" fontId="17" fillId="6" borderId="135" xfId="0" applyFont="1" applyFill="1" applyBorder="1" applyAlignment="1">
      <alignment horizontal="left" vertical="center" wrapText="1" indent="1"/>
    </xf>
    <xf numFmtId="0" fontId="39" fillId="0" borderId="18" xfId="0" applyFont="1" applyFill="1" applyBorder="1" applyAlignment="1">
      <alignment horizontal="left" vertical="center" wrapText="1" indent="1"/>
    </xf>
    <xf numFmtId="0" fontId="39" fillId="0" borderId="0" xfId="0" applyFont="1" applyFill="1" applyBorder="1" applyAlignment="1">
      <alignment horizontal="left" vertical="center" wrapText="1" indent="1"/>
    </xf>
    <xf numFmtId="0" fontId="39" fillId="0" borderId="1" xfId="0" applyFont="1" applyFill="1" applyBorder="1" applyAlignment="1">
      <alignment horizontal="left" vertical="center" wrapText="1" indent="1"/>
    </xf>
    <xf numFmtId="0" fontId="15" fillId="8" borderId="131" xfId="0" applyFont="1" applyFill="1" applyBorder="1" applyAlignment="1">
      <alignment horizontal="left" vertical="center" wrapText="1"/>
    </xf>
    <xf numFmtId="0" fontId="15" fillId="8" borderId="19" xfId="0" applyFont="1" applyFill="1" applyBorder="1" applyAlignment="1">
      <alignment horizontal="left" vertical="center" wrapText="1"/>
    </xf>
    <xf numFmtId="0" fontId="15" fillId="8" borderId="15" xfId="0" applyFont="1" applyFill="1" applyBorder="1" applyAlignment="1">
      <alignment horizontal="left" vertical="center" wrapText="1"/>
    </xf>
    <xf numFmtId="0" fontId="15" fillId="8" borderId="2" xfId="0" applyFont="1" applyFill="1" applyBorder="1" applyAlignment="1">
      <alignment horizontal="left" vertical="center" wrapText="1"/>
    </xf>
    <xf numFmtId="41" fontId="16" fillId="6" borderId="135" xfId="0" applyNumberFormat="1" applyFont="1" applyFill="1" applyBorder="1" applyAlignment="1">
      <alignment horizontal="left" vertical="center" wrapText="1"/>
    </xf>
    <xf numFmtId="0" fontId="14" fillId="8" borderId="136" xfId="0" applyFont="1" applyFill="1" applyBorder="1" applyAlignment="1">
      <alignment horizontal="center" vertical="center" wrapText="1"/>
    </xf>
    <xf numFmtId="0" fontId="14" fillId="8" borderId="109" xfId="0" applyFont="1" applyFill="1" applyBorder="1" applyAlignment="1">
      <alignment horizontal="center" vertical="center" wrapText="1"/>
    </xf>
    <xf numFmtId="0" fontId="39" fillId="6" borderId="74" xfId="0" applyFont="1" applyFill="1" applyBorder="1" applyAlignment="1">
      <alignment horizontal="left" vertical="center" wrapText="1" indent="1"/>
    </xf>
    <xf numFmtId="0" fontId="39" fillId="6" borderId="114" xfId="0" applyFont="1" applyFill="1" applyBorder="1" applyAlignment="1">
      <alignment horizontal="left" vertical="center" wrapText="1" indent="1"/>
    </xf>
    <xf numFmtId="0" fontId="39" fillId="6" borderId="75" xfId="0" applyFont="1" applyFill="1" applyBorder="1" applyAlignment="1">
      <alignment horizontal="left" vertical="center" wrapText="1" indent="1"/>
    </xf>
    <xf numFmtId="0" fontId="30" fillId="8" borderId="15" xfId="0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horizontal="center" vertical="center" wrapText="1"/>
    </xf>
    <xf numFmtId="0" fontId="30" fillId="8" borderId="13" xfId="0" applyFont="1" applyFill="1" applyBorder="1" applyAlignment="1">
      <alignment horizontal="center" vertical="center" wrapText="1"/>
    </xf>
    <xf numFmtId="0" fontId="16" fillId="6" borderId="70" xfId="0" applyFont="1" applyFill="1" applyBorder="1" applyAlignment="1">
      <alignment horizontal="left" vertical="center" indent="1"/>
    </xf>
    <xf numFmtId="0" fontId="16" fillId="6" borderId="71" xfId="0" applyFont="1" applyFill="1" applyBorder="1" applyAlignment="1">
      <alignment horizontal="left" vertical="center" indent="1"/>
    </xf>
    <xf numFmtId="0" fontId="16" fillId="0" borderId="34" xfId="0" applyFont="1" applyFill="1" applyBorder="1" applyAlignment="1">
      <alignment horizontal="left" vertical="center" wrapText="1" indent="1"/>
    </xf>
    <xf numFmtId="0" fontId="16" fillId="0" borderId="15" xfId="0" applyFont="1" applyFill="1" applyBorder="1" applyAlignment="1">
      <alignment horizontal="left" vertical="center" wrapText="1" indent="1"/>
    </xf>
    <xf numFmtId="0" fontId="16" fillId="0" borderId="13" xfId="0" applyFont="1" applyFill="1" applyBorder="1" applyAlignment="1">
      <alignment horizontal="left" vertical="center" wrapText="1" indent="1"/>
    </xf>
    <xf numFmtId="0" fontId="16" fillId="0" borderId="131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23" xfId="0" applyFont="1" applyFill="1" applyBorder="1" applyAlignment="1">
      <alignment horizontal="left" vertical="center" wrapText="1" indent="1"/>
    </xf>
    <xf numFmtId="0" fontId="16" fillId="6" borderId="126" xfId="0" applyFont="1" applyFill="1" applyBorder="1" applyAlignment="1">
      <alignment horizontal="left" vertical="center" indent="1"/>
    </xf>
    <xf numFmtId="0" fontId="14" fillId="3" borderId="71" xfId="6" applyFont="1" applyFill="1" applyBorder="1" applyAlignment="1">
      <alignment horizontal="center" vertical="center" textRotation="90" wrapText="1"/>
    </xf>
    <xf numFmtId="0" fontId="17" fillId="0" borderId="17" xfId="0" applyFont="1" applyFill="1" applyBorder="1" applyAlignment="1">
      <alignment horizontal="left" vertical="center" wrapText="1" indent="1"/>
    </xf>
    <xf numFmtId="0" fontId="17" fillId="0" borderId="19" xfId="0" applyFont="1" applyFill="1" applyBorder="1" applyAlignment="1">
      <alignment horizontal="left" vertical="center" wrapText="1" indent="1"/>
    </xf>
    <xf numFmtId="0" fontId="17" fillId="6" borderId="17" xfId="0" applyFont="1" applyFill="1" applyBorder="1" applyAlignment="1">
      <alignment horizontal="left" vertical="center" wrapText="1" indent="1"/>
    </xf>
    <xf numFmtId="0" fontId="17" fillId="6" borderId="19" xfId="0" applyFont="1" applyFill="1" applyBorder="1" applyAlignment="1">
      <alignment horizontal="left" vertical="center" wrapText="1" indent="1"/>
    </xf>
    <xf numFmtId="0" fontId="11" fillId="0" borderId="0" xfId="13" applyFont="1" applyFill="1" applyAlignment="1">
      <alignment vertical="center" wrapText="1"/>
    </xf>
    <xf numFmtId="0" fontId="198" fillId="0" borderId="19" xfId="0" applyFont="1" applyFill="1" applyBorder="1" applyAlignment="1">
      <alignment horizontal="left" vertical="center" wrapText="1"/>
    </xf>
    <xf numFmtId="0" fontId="17" fillId="7" borderId="72" xfId="0" applyFont="1" applyFill="1" applyBorder="1" applyAlignment="1">
      <alignment horizontal="left" vertical="center" wrapText="1"/>
    </xf>
    <xf numFmtId="0" fontId="17" fillId="7" borderId="69" xfId="0" applyFont="1" applyFill="1" applyBorder="1" applyAlignment="1">
      <alignment horizontal="left" vertical="center" wrapText="1"/>
    </xf>
    <xf numFmtId="0" fontId="15" fillId="8" borderId="17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center" vertical="center" wrapText="1"/>
    </xf>
    <xf numFmtId="0" fontId="15" fillId="8" borderId="16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7" fillId="7" borderId="192" xfId="0" applyFont="1" applyFill="1" applyBorder="1" applyAlignment="1">
      <alignment horizontal="left" vertical="center" wrapText="1"/>
    </xf>
    <xf numFmtId="0" fontId="17" fillId="7" borderId="137" xfId="0" applyFont="1" applyFill="1" applyBorder="1" applyAlignment="1">
      <alignment horizontal="left" vertical="center" wrapText="1"/>
    </xf>
    <xf numFmtId="41" fontId="16" fillId="6" borderId="32" xfId="0" applyNumberFormat="1" applyFont="1" applyFill="1" applyBorder="1" applyAlignment="1">
      <alignment horizontal="left" vertical="center" wrapText="1"/>
    </xf>
    <xf numFmtId="41" fontId="16" fillId="6" borderId="33" xfId="0" applyNumberFormat="1" applyFont="1" applyFill="1" applyBorder="1" applyAlignment="1">
      <alignment horizontal="left" vertical="center" wrapText="1"/>
    </xf>
    <xf numFmtId="41" fontId="16" fillId="6" borderId="146" xfId="0" applyNumberFormat="1" applyFont="1" applyFill="1" applyBorder="1" applyAlignment="1">
      <alignment horizontal="left" vertical="center" wrapText="1"/>
    </xf>
    <xf numFmtId="41" fontId="16" fillId="0" borderId="34" xfId="0" applyNumberFormat="1" applyFont="1" applyFill="1" applyBorder="1" applyAlignment="1">
      <alignment horizontal="left" vertical="center" wrapText="1"/>
    </xf>
    <xf numFmtId="0" fontId="12" fillId="8" borderId="72" xfId="0" applyFont="1" applyFill="1" applyBorder="1" applyAlignment="1">
      <alignment horizontal="center" vertical="center" wrapText="1"/>
    </xf>
    <xf numFmtId="0" fontId="12" fillId="8" borderId="69" xfId="0" applyFont="1" applyFill="1" applyBorder="1" applyAlignment="1">
      <alignment horizontal="center" vertical="center" wrapText="1"/>
    </xf>
    <xf numFmtId="0" fontId="12" fillId="8" borderId="70" xfId="0" applyFont="1" applyFill="1" applyBorder="1" applyAlignment="1">
      <alignment horizontal="center" vertical="center" wrapText="1"/>
    </xf>
    <xf numFmtId="0" fontId="30" fillId="8" borderId="11" xfId="0" applyFont="1" applyFill="1" applyBorder="1" applyAlignment="1">
      <alignment horizontal="center" vertical="center" wrapText="1"/>
    </xf>
    <xf numFmtId="0" fontId="30" fillId="8" borderId="12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09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30" fillId="8" borderId="109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/>
    </xf>
    <xf numFmtId="0" fontId="15" fillId="0" borderId="0" xfId="13" applyFont="1" applyFill="1" applyAlignment="1">
      <alignment vertical="center" wrapText="1"/>
    </xf>
    <xf numFmtId="0" fontId="14" fillId="6" borderId="135" xfId="0" applyFont="1" applyFill="1" applyBorder="1" applyAlignment="1">
      <alignment horizontal="center" vertical="center" textRotation="90" wrapText="1"/>
    </xf>
    <xf numFmtId="0" fontId="17" fillId="0" borderId="135" xfId="0" applyFont="1" applyFill="1" applyBorder="1" applyAlignment="1">
      <alignment horizontal="left" vertical="top" wrapText="1"/>
    </xf>
    <xf numFmtId="0" fontId="7" fillId="0" borderId="135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left" vertical="center" wrapText="1" indent="1"/>
    </xf>
    <xf numFmtId="0" fontId="16" fillId="6" borderId="16" xfId="0" applyFont="1" applyFill="1" applyBorder="1" applyAlignment="1">
      <alignment horizontal="left" vertical="center" wrapText="1" indent="1"/>
    </xf>
    <xf numFmtId="0" fontId="16" fillId="6" borderId="18" xfId="0" applyFont="1" applyFill="1" applyBorder="1" applyAlignment="1">
      <alignment horizontal="left" vertical="center" wrapText="1" indent="1"/>
    </xf>
    <xf numFmtId="0" fontId="16" fillId="6" borderId="1" xfId="0" applyFont="1" applyFill="1" applyBorder="1" applyAlignment="1">
      <alignment horizontal="left" vertical="center" wrapText="1" indent="1"/>
    </xf>
    <xf numFmtId="0" fontId="16" fillId="6" borderId="15" xfId="0" applyFont="1" applyFill="1" applyBorder="1" applyAlignment="1">
      <alignment horizontal="left" vertical="center" wrapText="1" indent="1"/>
    </xf>
    <xf numFmtId="0" fontId="16" fillId="6" borderId="13" xfId="0" applyFont="1" applyFill="1" applyBorder="1" applyAlignment="1">
      <alignment horizontal="left" vertical="center" wrapText="1" indent="1"/>
    </xf>
    <xf numFmtId="0" fontId="16" fillId="3" borderId="7" xfId="0" applyFont="1" applyFill="1" applyBorder="1" applyAlignment="1">
      <alignment horizontal="left" vertical="center" wrapText="1" indent="1"/>
    </xf>
    <xf numFmtId="0" fontId="16" fillId="3" borderId="8" xfId="0" applyFont="1" applyFill="1" applyBorder="1" applyAlignment="1">
      <alignment horizontal="left" vertical="center" wrapText="1" indent="1"/>
    </xf>
    <xf numFmtId="0" fontId="16" fillId="3" borderId="6" xfId="0" applyFont="1" applyFill="1" applyBorder="1" applyAlignment="1">
      <alignment horizontal="left" vertical="center" wrapText="1" indent="1"/>
    </xf>
    <xf numFmtId="0" fontId="30" fillId="0" borderId="17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left" vertical="center" wrapText="1" indent="1"/>
    </xf>
    <xf numFmtId="167" fontId="16" fillId="6" borderId="5" xfId="0" applyNumberFormat="1" applyFont="1" applyFill="1" applyBorder="1" applyAlignment="1">
      <alignment horizontal="left" vertical="center" wrapText="1" indent="1"/>
    </xf>
    <xf numFmtId="0" fontId="16" fillId="3" borderId="5" xfId="0" applyFont="1" applyFill="1" applyBorder="1" applyAlignment="1">
      <alignment horizontal="left" vertical="center" wrapText="1" indent="1"/>
    </xf>
    <xf numFmtId="167" fontId="16" fillId="3" borderId="5" xfId="0" applyNumberFormat="1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/>
    </xf>
    <xf numFmtId="0" fontId="16" fillId="6" borderId="7" xfId="0" applyFont="1" applyFill="1" applyBorder="1" applyAlignment="1">
      <alignment horizontal="left" vertical="center" wrapText="1" indent="1"/>
    </xf>
    <xf numFmtId="0" fontId="16" fillId="6" borderId="8" xfId="0" applyFont="1" applyFill="1" applyBorder="1" applyAlignment="1">
      <alignment horizontal="left" vertical="center" wrapText="1" indent="1"/>
    </xf>
    <xf numFmtId="0" fontId="16" fillId="6" borderId="6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16" fillId="6" borderId="2" xfId="0" applyFont="1" applyFill="1" applyBorder="1" applyAlignment="1">
      <alignment horizontal="left" vertical="center" wrapText="1" indent="1"/>
    </xf>
    <xf numFmtId="41" fontId="16" fillId="0" borderId="24" xfId="0" applyNumberFormat="1" applyFont="1" applyFill="1" applyBorder="1" applyAlignment="1">
      <alignment horizontal="left" vertical="center" wrapText="1"/>
    </xf>
    <xf numFmtId="41" fontId="16" fillId="0" borderId="22" xfId="0" applyNumberFormat="1" applyFont="1" applyFill="1" applyBorder="1" applyAlignment="1">
      <alignment horizontal="left" vertical="center" wrapText="1"/>
    </xf>
    <xf numFmtId="0" fontId="30" fillId="8" borderId="72" xfId="0" applyFont="1" applyFill="1" applyBorder="1" applyAlignment="1">
      <alignment horizontal="center" vertical="center" wrapText="1"/>
    </xf>
    <xf numFmtId="0" fontId="30" fillId="8" borderId="69" xfId="0" applyFont="1" applyFill="1" applyBorder="1" applyAlignment="1">
      <alignment horizontal="center" vertical="center" wrapText="1"/>
    </xf>
    <xf numFmtId="0" fontId="30" fillId="8" borderId="70" xfId="0" applyFont="1" applyFill="1" applyBorder="1" applyAlignment="1">
      <alignment horizontal="center" vertical="center" wrapText="1"/>
    </xf>
    <xf numFmtId="0" fontId="30" fillId="8" borderId="18" xfId="0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left"/>
    </xf>
    <xf numFmtId="0" fontId="17" fillId="6" borderId="17" xfId="6" applyFont="1" applyFill="1" applyBorder="1" applyAlignment="1">
      <alignment horizontal="left" vertical="center" wrapText="1" indent="1"/>
    </xf>
    <xf numFmtId="0" fontId="17" fillId="6" borderId="19" xfId="6" applyFont="1" applyFill="1" applyBorder="1" applyAlignment="1">
      <alignment horizontal="left" vertical="center" wrapText="1" indent="1"/>
    </xf>
    <xf numFmtId="0" fontId="17" fillId="6" borderId="18" xfId="6" applyFont="1" applyFill="1" applyBorder="1" applyAlignment="1">
      <alignment horizontal="left" vertical="center" wrapText="1" indent="1"/>
    </xf>
    <xf numFmtId="0" fontId="17" fillId="6" borderId="0" xfId="6" applyFont="1" applyFill="1" applyBorder="1" applyAlignment="1">
      <alignment horizontal="left" vertical="center" wrapText="1" indent="1"/>
    </xf>
    <xf numFmtId="0" fontId="17" fillId="6" borderId="15" xfId="6" applyFont="1" applyFill="1" applyBorder="1" applyAlignment="1">
      <alignment horizontal="left" vertical="center" wrapText="1" indent="1"/>
    </xf>
    <xf numFmtId="0" fontId="17" fillId="6" borderId="2" xfId="6" applyFont="1" applyFill="1" applyBorder="1" applyAlignment="1">
      <alignment horizontal="left" vertical="center" wrapText="1" indent="1"/>
    </xf>
    <xf numFmtId="0" fontId="16" fillId="6" borderId="23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left" vertical="center" wrapText="1" indent="1"/>
    </xf>
    <xf numFmtId="0" fontId="17" fillId="3" borderId="17" xfId="6" applyFont="1" applyFill="1" applyBorder="1" applyAlignment="1">
      <alignment horizontal="left" vertical="center" wrapText="1" indent="1"/>
    </xf>
    <xf numFmtId="0" fontId="17" fillId="3" borderId="16" xfId="6" applyFont="1" applyFill="1" applyBorder="1" applyAlignment="1">
      <alignment horizontal="left" vertical="center" wrapText="1" indent="1"/>
    </xf>
    <xf numFmtId="0" fontId="16" fillId="3" borderId="23" xfId="6" applyFont="1" applyFill="1" applyBorder="1" applyAlignment="1">
      <alignment horizontal="left" vertical="center" wrapText="1" indent="1"/>
    </xf>
    <xf numFmtId="0" fontId="16" fillId="3" borderId="20" xfId="6" applyFont="1" applyFill="1" applyBorder="1" applyAlignment="1">
      <alignment horizontal="left" vertical="center" wrapText="1" indent="1"/>
    </xf>
    <xf numFmtId="168" fontId="0" fillId="0" borderId="0" xfId="0" applyNumberFormat="1" applyAlignment="1">
      <alignment horizontal="left" vertical="top" wrapText="1"/>
    </xf>
    <xf numFmtId="0" fontId="17" fillId="6" borderId="7" xfId="6" applyFont="1" applyFill="1" applyBorder="1" applyAlignment="1">
      <alignment horizontal="left" vertical="center" wrapText="1" indent="1"/>
    </xf>
    <xf numFmtId="0" fontId="17" fillId="6" borderId="8" xfId="6" applyFont="1" applyFill="1" applyBorder="1" applyAlignment="1">
      <alignment horizontal="left" vertical="center" wrapText="1" indent="1"/>
    </xf>
    <xf numFmtId="0" fontId="16" fillId="6" borderId="7" xfId="6" applyFont="1" applyFill="1" applyBorder="1" applyAlignment="1">
      <alignment horizontal="left" vertical="center" wrapText="1" indent="1"/>
    </xf>
    <xf numFmtId="0" fontId="17" fillId="6" borderId="6" xfId="6" applyFont="1" applyFill="1" applyBorder="1" applyAlignment="1">
      <alignment horizontal="left" vertical="center" wrapText="1" indent="1"/>
    </xf>
    <xf numFmtId="0" fontId="16" fillId="6" borderId="5" xfId="6" applyFont="1" applyFill="1" applyBorder="1" applyAlignment="1">
      <alignment horizontal="left" vertical="center" wrapText="1" indent="1"/>
    </xf>
    <xf numFmtId="0" fontId="16" fillId="3" borderId="7" xfId="6" applyFont="1" applyFill="1" applyBorder="1" applyAlignment="1">
      <alignment horizontal="left" vertical="center" wrapText="1" indent="1"/>
    </xf>
    <xf numFmtId="0" fontId="16" fillId="3" borderId="6" xfId="6" applyFont="1" applyFill="1" applyBorder="1" applyAlignment="1">
      <alignment horizontal="left" vertical="center" wrapText="1" indent="1"/>
    </xf>
    <xf numFmtId="0" fontId="16" fillId="3" borderId="5" xfId="6" applyFont="1" applyFill="1" applyBorder="1" applyAlignment="1">
      <alignment horizontal="left" vertical="center" wrapText="1" indent="1"/>
    </xf>
    <xf numFmtId="0" fontId="7" fillId="8" borderId="19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168" fontId="68" fillId="0" borderId="74" xfId="0" applyNumberFormat="1" applyFont="1" applyFill="1" applyBorder="1" applyAlignment="1">
      <alignment horizontal="center" vertical="center" wrapText="1"/>
    </xf>
    <xf numFmtId="168" fontId="68" fillId="0" borderId="120" xfId="0" applyNumberFormat="1" applyFont="1" applyFill="1" applyBorder="1" applyAlignment="1">
      <alignment horizontal="center" vertical="center" wrapText="1"/>
    </xf>
    <xf numFmtId="168" fontId="68" fillId="0" borderId="75" xfId="0" applyNumberFormat="1" applyFont="1" applyFill="1" applyBorder="1" applyAlignment="1">
      <alignment horizontal="center" vertical="center" wrapText="1"/>
    </xf>
    <xf numFmtId="168" fontId="68" fillId="6" borderId="74" xfId="0" applyNumberFormat="1" applyFont="1" applyFill="1" applyBorder="1" applyAlignment="1">
      <alignment horizontal="center" vertical="center" wrapText="1"/>
    </xf>
    <xf numFmtId="168" fontId="68" fillId="6" borderId="120" xfId="0" applyNumberFormat="1" applyFont="1" applyFill="1" applyBorder="1" applyAlignment="1">
      <alignment horizontal="center" vertical="center" wrapText="1"/>
    </xf>
    <xf numFmtId="168" fontId="68" fillId="6" borderId="75" xfId="0" applyNumberFormat="1" applyFont="1" applyFill="1" applyBorder="1" applyAlignment="1">
      <alignment horizontal="center" vertical="center" wrapText="1"/>
    </xf>
    <xf numFmtId="0" fontId="7" fillId="8" borderId="80" xfId="0" applyFont="1" applyFill="1" applyBorder="1" applyAlignment="1">
      <alignment horizontal="center" vertical="center" wrapText="1"/>
    </xf>
    <xf numFmtId="0" fontId="7" fillId="8" borderId="118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0" fontId="7" fillId="8" borderId="82" xfId="0" applyFont="1" applyFill="1" applyBorder="1" applyAlignment="1">
      <alignment horizontal="center" vertical="center" wrapText="1"/>
    </xf>
    <xf numFmtId="0" fontId="7" fillId="8" borderId="119" xfId="0" applyFont="1" applyFill="1" applyBorder="1" applyAlignment="1">
      <alignment horizontal="center" vertical="center" wrapText="1"/>
    </xf>
    <xf numFmtId="0" fontId="7" fillId="8" borderId="78" xfId="0" applyFont="1" applyFill="1" applyBorder="1" applyAlignment="1">
      <alignment horizontal="center" vertical="center" wrapText="1"/>
    </xf>
    <xf numFmtId="168" fontId="68" fillId="0" borderId="135" xfId="0" applyNumberFormat="1" applyFont="1" applyFill="1" applyBorder="1" applyAlignment="1">
      <alignment horizontal="center" vertical="center" wrapText="1"/>
    </xf>
    <xf numFmtId="0" fontId="30" fillId="8" borderId="59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left" vertical="center" wrapText="1" indent="1"/>
    </xf>
    <xf numFmtId="0" fontId="16" fillId="0" borderId="131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center" wrapText="1" indent="1"/>
    </xf>
    <xf numFmtId="0" fontId="16" fillId="0" borderId="16" xfId="0" applyFont="1" applyFill="1" applyBorder="1" applyAlignment="1">
      <alignment horizontal="left" vertical="center" wrapText="1" indent="1"/>
    </xf>
    <xf numFmtId="0" fontId="16" fillId="0" borderId="2" xfId="0" applyFont="1" applyFill="1" applyBorder="1" applyAlignment="1">
      <alignment horizontal="left" vertical="center" wrapText="1" indent="1"/>
    </xf>
    <xf numFmtId="41" fontId="16" fillId="0" borderId="143" xfId="0" applyNumberFormat="1" applyFont="1" applyFill="1" applyBorder="1" applyAlignment="1">
      <alignment horizontal="left" vertical="center" wrapText="1" indent="1"/>
    </xf>
    <xf numFmtId="41" fontId="16" fillId="0" borderId="144" xfId="0" applyNumberFormat="1" applyFont="1" applyFill="1" applyBorder="1" applyAlignment="1">
      <alignment horizontal="left" vertical="center" wrapText="1" indent="1"/>
    </xf>
    <xf numFmtId="41" fontId="16" fillId="0" borderId="145" xfId="0" applyNumberFormat="1" applyFont="1" applyFill="1" applyBorder="1" applyAlignment="1">
      <alignment horizontal="left" vertical="center" wrapText="1" indent="1"/>
    </xf>
    <xf numFmtId="41" fontId="16" fillId="6" borderId="24" xfId="0" applyNumberFormat="1" applyFont="1" applyFill="1" applyBorder="1" applyAlignment="1">
      <alignment horizontal="left" vertical="center" wrapText="1" indent="1"/>
    </xf>
    <xf numFmtId="41" fontId="16" fillId="6" borderId="26" xfId="0" applyNumberFormat="1" applyFont="1" applyFill="1" applyBorder="1" applyAlignment="1">
      <alignment horizontal="left" vertical="center" wrapText="1" indent="1"/>
    </xf>
    <xf numFmtId="41" fontId="16" fillId="6" borderId="22" xfId="0" applyNumberFormat="1" applyFont="1" applyFill="1" applyBorder="1" applyAlignment="1">
      <alignment horizontal="left" vertical="center" wrapText="1" indent="1"/>
    </xf>
    <xf numFmtId="41" fontId="16" fillId="6" borderId="23" xfId="0" applyNumberFormat="1" applyFont="1" applyFill="1" applyBorder="1" applyAlignment="1">
      <alignment horizontal="left" vertical="center" wrapText="1" indent="1"/>
    </xf>
    <xf numFmtId="41" fontId="16" fillId="6" borderId="21" xfId="0" applyNumberFormat="1" applyFont="1" applyFill="1" applyBorder="1" applyAlignment="1">
      <alignment horizontal="left" vertical="center" wrapText="1" indent="1"/>
    </xf>
    <xf numFmtId="41" fontId="16" fillId="6" borderId="20" xfId="0" applyNumberFormat="1" applyFont="1" applyFill="1" applyBorder="1" applyAlignment="1">
      <alignment horizontal="left" vertical="center" wrapText="1" indent="1"/>
    </xf>
    <xf numFmtId="41" fontId="16" fillId="0" borderId="35" xfId="0" applyNumberFormat="1" applyFont="1" applyFill="1" applyBorder="1" applyAlignment="1">
      <alignment horizontal="left" vertical="center" wrapText="1" indent="1"/>
    </xf>
    <xf numFmtId="41" fontId="16" fillId="0" borderId="37" xfId="0" applyNumberFormat="1" applyFont="1" applyFill="1" applyBorder="1" applyAlignment="1">
      <alignment horizontal="left" vertical="center" wrapText="1" indent="1"/>
    </xf>
    <xf numFmtId="41" fontId="16" fillId="0" borderId="36" xfId="0" applyNumberFormat="1" applyFont="1" applyFill="1" applyBorder="1" applyAlignment="1">
      <alignment horizontal="left" vertical="center" wrapText="1" inden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14" fillId="7" borderId="71" xfId="6" applyFont="1" applyFill="1" applyBorder="1" applyAlignment="1">
      <alignment horizontal="left" wrapText="1"/>
    </xf>
    <xf numFmtId="0" fontId="16" fillId="0" borderId="7" xfId="6" applyFont="1" applyFill="1" applyBorder="1" applyAlignment="1">
      <alignment horizontal="left" vertical="center" wrapText="1" indent="1"/>
    </xf>
    <xf numFmtId="0" fontId="16" fillId="0" borderId="6" xfId="6" applyFont="1" applyFill="1" applyBorder="1" applyAlignment="1">
      <alignment horizontal="left" vertical="center" wrapText="1" indent="1"/>
    </xf>
    <xf numFmtId="0" fontId="16" fillId="0" borderId="5" xfId="6" applyFont="1" applyFill="1" applyBorder="1" applyAlignment="1">
      <alignment horizontal="left" vertical="center" wrapText="1" indent="1"/>
    </xf>
    <xf numFmtId="0" fontId="17" fillId="6" borderId="71" xfId="6" applyFont="1" applyFill="1" applyBorder="1" applyAlignment="1">
      <alignment horizontal="left" vertical="center" wrapText="1" indent="1"/>
    </xf>
    <xf numFmtId="9" fontId="59" fillId="6" borderId="63" xfId="0" applyNumberFormat="1" applyFont="1" applyFill="1" applyBorder="1" applyAlignment="1">
      <alignment horizontal="center" vertical="center"/>
    </xf>
    <xf numFmtId="41" fontId="59" fillId="6" borderId="63" xfId="0" applyNumberFormat="1" applyFont="1" applyFill="1" applyBorder="1" applyAlignment="1">
      <alignment horizontal="center" vertical="center"/>
    </xf>
    <xf numFmtId="41" fontId="68" fillId="0" borderId="135" xfId="0" applyNumberFormat="1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9" fontId="59" fillId="0" borderId="25" xfId="0" applyNumberFormat="1" applyFont="1" applyFill="1" applyBorder="1" applyAlignment="1">
      <alignment horizontal="center" vertical="center"/>
    </xf>
    <xf numFmtId="41" fontId="59" fillId="0" borderId="25" xfId="0" applyNumberFormat="1" applyFont="1" applyFill="1" applyBorder="1" applyAlignment="1">
      <alignment horizontal="center" vertical="center"/>
    </xf>
    <xf numFmtId="9" fontId="59" fillId="6" borderId="109" xfId="0" applyNumberFormat="1" applyFont="1" applyFill="1" applyBorder="1" applyAlignment="1">
      <alignment horizontal="center" vertical="center"/>
    </xf>
    <xf numFmtId="41" fontId="59" fillId="6" borderId="109" xfId="0" applyNumberFormat="1" applyFont="1" applyFill="1" applyBorder="1" applyAlignment="1">
      <alignment horizontal="center" vertical="center"/>
    </xf>
    <xf numFmtId="41" fontId="59" fillId="0" borderId="146" xfId="0" applyNumberFormat="1" applyFont="1" applyFill="1" applyBorder="1" applyAlignment="1">
      <alignment horizontal="center" vertical="center"/>
    </xf>
    <xf numFmtId="41" fontId="59" fillId="6" borderId="10" xfId="0" applyNumberFormat="1" applyFont="1" applyFill="1" applyBorder="1" applyAlignment="1">
      <alignment horizontal="center" vertical="center"/>
    </xf>
    <xf numFmtId="0" fontId="17" fillId="6" borderId="16" xfId="6" applyFont="1" applyFill="1" applyBorder="1" applyAlignment="1">
      <alignment horizontal="left" vertical="center" wrapText="1" indent="1"/>
    </xf>
    <xf numFmtId="0" fontId="16" fillId="0" borderId="135" xfId="0" applyFont="1" applyFill="1" applyBorder="1" applyAlignment="1">
      <alignment horizontal="left" vertical="center" wrapText="1" indent="1"/>
    </xf>
    <xf numFmtId="41" fontId="16" fillId="0" borderId="135" xfId="0" applyNumberFormat="1" applyFont="1" applyFill="1" applyBorder="1" applyAlignment="1">
      <alignment horizontal="left" vertical="center" wrapText="1" indent="1"/>
    </xf>
    <xf numFmtId="41" fontId="16" fillId="6" borderId="135" xfId="0" applyNumberFormat="1" applyFont="1" applyFill="1" applyBorder="1" applyAlignment="1">
      <alignment horizontal="left" vertical="center" wrapText="1" inden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9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0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6" fillId="6" borderId="15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3" xfId="0" applyFont="1" applyFill="1" applyBorder="1" applyAlignment="1">
      <alignment horizontal="left" vertical="center" wrapText="1"/>
    </xf>
    <xf numFmtId="0" fontId="14" fillId="7" borderId="72" xfId="6" applyFont="1" applyFill="1" applyBorder="1" applyAlignment="1">
      <alignment horizontal="left" wrapText="1"/>
    </xf>
    <xf numFmtId="0" fontId="14" fillId="7" borderId="69" xfId="6" applyFont="1" applyFill="1" applyBorder="1" applyAlignment="1">
      <alignment horizontal="left" wrapText="1"/>
    </xf>
    <xf numFmtId="0" fontId="30" fillId="0" borderId="18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left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6" fillId="6" borderId="72" xfId="0" applyFont="1" applyFill="1" applyBorder="1" applyAlignment="1">
      <alignment horizontal="left" vertical="center" wrapText="1"/>
    </xf>
    <xf numFmtId="0" fontId="16" fillId="6" borderId="70" xfId="0" applyFont="1" applyFill="1" applyBorder="1" applyAlignment="1">
      <alignment horizontal="left" vertical="center" wrapText="1"/>
    </xf>
    <xf numFmtId="0" fontId="14" fillId="0" borderId="72" xfId="6" applyFont="1" applyFill="1" applyBorder="1" applyAlignment="1">
      <alignment horizontal="center" vertical="center" wrapText="1"/>
    </xf>
    <xf numFmtId="0" fontId="14" fillId="0" borderId="69" xfId="6" applyFont="1" applyFill="1" applyBorder="1" applyAlignment="1">
      <alignment horizontal="center" vertical="center" wrapText="1"/>
    </xf>
    <xf numFmtId="0" fontId="14" fillId="0" borderId="70" xfId="6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7" fillId="8" borderId="70" xfId="0" applyFont="1" applyFill="1" applyBorder="1" applyAlignment="1">
      <alignment horizontal="center" vertical="center" wrapText="1"/>
    </xf>
    <xf numFmtId="0" fontId="14" fillId="8" borderId="72" xfId="0" applyFont="1" applyFill="1" applyBorder="1" applyAlignment="1">
      <alignment horizontal="center" vertical="center" wrapText="1"/>
    </xf>
    <xf numFmtId="0" fontId="14" fillId="8" borderId="70" xfId="0" applyFont="1" applyFill="1" applyBorder="1" applyAlignment="1">
      <alignment horizontal="center" vertical="center" wrapText="1"/>
    </xf>
    <xf numFmtId="0" fontId="14" fillId="0" borderId="72" xfId="0" applyFont="1" applyFill="1" applyBorder="1" applyAlignment="1">
      <alignment horizontal="center" vertical="center" wrapText="1"/>
    </xf>
    <xf numFmtId="0" fontId="14" fillId="0" borderId="70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14" fillId="7" borderId="72" xfId="6" applyFont="1" applyFill="1" applyBorder="1" applyAlignment="1">
      <alignment horizontal="left" vertical="center" wrapText="1"/>
    </xf>
    <xf numFmtId="0" fontId="14" fillId="7" borderId="69" xfId="6" applyFont="1" applyFill="1" applyBorder="1" applyAlignment="1">
      <alignment horizontal="left" vertical="center" wrapText="1"/>
    </xf>
    <xf numFmtId="0" fontId="16" fillId="6" borderId="23" xfId="0" applyFont="1" applyFill="1" applyBorder="1" applyAlignment="1">
      <alignment horizontal="left" vertical="center" wrapText="1"/>
    </xf>
    <xf numFmtId="0" fontId="16" fillId="6" borderId="20" xfId="0" applyFont="1" applyFill="1" applyBorder="1" applyAlignment="1">
      <alignment horizontal="left" vertical="center" wrapText="1"/>
    </xf>
    <xf numFmtId="0" fontId="16" fillId="0" borderId="35" xfId="0" applyFont="1" applyFill="1" applyBorder="1" applyAlignment="1">
      <alignment horizontal="left" vertical="center" wrapText="1"/>
    </xf>
    <xf numFmtId="0" fontId="16" fillId="0" borderId="36" xfId="0" applyFont="1" applyFill="1" applyBorder="1" applyAlignment="1">
      <alignment horizontal="left" vertical="center" wrapText="1"/>
    </xf>
    <xf numFmtId="0" fontId="16" fillId="6" borderId="24" xfId="0" applyFont="1" applyFill="1" applyBorder="1" applyAlignment="1">
      <alignment horizontal="left" vertical="center" wrapText="1"/>
    </xf>
    <xf numFmtId="0" fontId="16" fillId="6" borderId="22" xfId="0" applyFont="1" applyFill="1" applyBorder="1" applyAlignment="1">
      <alignment horizontal="left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7" fillId="0" borderId="17" xfId="6" applyFont="1" applyFill="1" applyBorder="1" applyAlignment="1">
      <alignment horizontal="left" vertical="center" wrapText="1" indent="1"/>
    </xf>
    <xf numFmtId="0" fontId="17" fillId="0" borderId="16" xfId="6" applyFont="1" applyFill="1" applyBorder="1" applyAlignment="1">
      <alignment horizontal="left" vertical="center" wrapText="1" indent="1"/>
    </xf>
    <xf numFmtId="0" fontId="7" fillId="0" borderId="72" xfId="0" applyFont="1" applyFill="1" applyBorder="1" applyAlignment="1">
      <alignment horizontal="center" vertical="center" wrapText="1"/>
    </xf>
    <xf numFmtId="0" fontId="7" fillId="0" borderId="69" xfId="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center" vertical="center" wrapText="1"/>
    </xf>
    <xf numFmtId="43" fontId="59" fillId="6" borderId="74" xfId="0" applyNumberFormat="1" applyFont="1" applyFill="1" applyBorder="1" applyAlignment="1">
      <alignment horizontal="center" vertical="center" wrapText="1"/>
    </xf>
    <xf numFmtId="43" fontId="59" fillId="6" borderId="120" xfId="0" applyNumberFormat="1" applyFont="1" applyFill="1" applyBorder="1" applyAlignment="1">
      <alignment horizontal="center" vertical="center" wrapText="1"/>
    </xf>
    <xf numFmtId="43" fontId="59" fillId="6" borderId="75" xfId="0" applyNumberFormat="1" applyFont="1" applyFill="1" applyBorder="1" applyAlignment="1">
      <alignment horizontal="center" vertical="center" wrapText="1"/>
    </xf>
    <xf numFmtId="43" fontId="59" fillId="0" borderId="35" xfId="0" applyNumberFormat="1" applyFont="1" applyFill="1" applyBorder="1" applyAlignment="1">
      <alignment horizontal="center" vertical="center" wrapText="1"/>
    </xf>
    <xf numFmtId="43" fontId="59" fillId="0" borderId="37" xfId="0" applyNumberFormat="1" applyFont="1" applyFill="1" applyBorder="1" applyAlignment="1">
      <alignment horizontal="center" vertical="center" wrapText="1"/>
    </xf>
    <xf numFmtId="43" fontId="59" fillId="0" borderId="36" xfId="0" applyNumberFormat="1" applyFont="1" applyFill="1" applyBorder="1" applyAlignment="1">
      <alignment horizontal="center" vertical="center" wrapText="1"/>
    </xf>
    <xf numFmtId="0" fontId="14" fillId="7" borderId="72" xfId="6" applyFont="1" applyFill="1" applyBorder="1" applyAlignment="1">
      <alignment horizontal="center" vertical="center" wrapText="1"/>
    </xf>
    <xf numFmtId="0" fontId="14" fillId="7" borderId="69" xfId="6" applyFont="1" applyFill="1" applyBorder="1" applyAlignment="1">
      <alignment horizontal="center" vertical="center" wrapText="1"/>
    </xf>
    <xf numFmtId="41" fontId="68" fillId="0" borderId="74" xfId="0" applyNumberFormat="1" applyFont="1" applyFill="1" applyBorder="1" applyAlignment="1">
      <alignment horizontal="center" vertical="center" wrapText="1"/>
    </xf>
    <xf numFmtId="41" fontId="68" fillId="0" borderId="114" xfId="0" applyNumberFormat="1" applyFont="1" applyFill="1" applyBorder="1" applyAlignment="1">
      <alignment horizontal="center" vertical="center" wrapText="1"/>
    </xf>
    <xf numFmtId="41" fontId="68" fillId="0" borderId="75" xfId="0" applyNumberFormat="1" applyFont="1" applyFill="1" applyBorder="1" applyAlignment="1">
      <alignment horizontal="center" vertical="center" wrapText="1"/>
    </xf>
    <xf numFmtId="41" fontId="68" fillId="6" borderId="74" xfId="0" applyNumberFormat="1" applyFont="1" applyFill="1" applyBorder="1" applyAlignment="1">
      <alignment horizontal="center" vertical="center" wrapText="1"/>
    </xf>
    <xf numFmtId="41" fontId="68" fillId="6" borderId="114" xfId="0" applyNumberFormat="1" applyFont="1" applyFill="1" applyBorder="1" applyAlignment="1">
      <alignment horizontal="center" vertical="center" wrapText="1"/>
    </xf>
    <xf numFmtId="41" fontId="68" fillId="6" borderId="75" xfId="0" applyNumberFormat="1" applyFont="1" applyFill="1" applyBorder="1" applyAlignment="1">
      <alignment horizontal="center" vertical="center" wrapText="1"/>
    </xf>
    <xf numFmtId="41" fontId="68" fillId="0" borderId="143" xfId="0" applyNumberFormat="1" applyFont="1" applyFill="1" applyBorder="1" applyAlignment="1">
      <alignment horizontal="center" vertical="center" wrapText="1"/>
    </xf>
    <xf numFmtId="41" fontId="68" fillId="0" borderId="144" xfId="0" applyNumberFormat="1" applyFont="1" applyFill="1" applyBorder="1" applyAlignment="1">
      <alignment horizontal="center" vertical="center" wrapText="1"/>
    </xf>
    <xf numFmtId="41" fontId="68" fillId="0" borderId="145" xfId="0" applyNumberFormat="1" applyFont="1" applyFill="1" applyBorder="1" applyAlignment="1">
      <alignment horizontal="center" vertical="center" wrapText="1"/>
    </xf>
    <xf numFmtId="0" fontId="7" fillId="8" borderId="133" xfId="0" applyFont="1" applyFill="1" applyBorder="1" applyAlignment="1">
      <alignment horizontal="center" vertical="center" wrapText="1"/>
    </xf>
    <xf numFmtId="0" fontId="7" fillId="8" borderId="137" xfId="0" applyFont="1" applyFill="1" applyBorder="1" applyAlignment="1">
      <alignment horizontal="center" vertical="center" wrapText="1"/>
    </xf>
    <xf numFmtId="0" fontId="7" fillId="8" borderId="134" xfId="0" applyFont="1" applyFill="1" applyBorder="1" applyAlignment="1">
      <alignment horizontal="center" vertical="center" wrapText="1"/>
    </xf>
    <xf numFmtId="41" fontId="68" fillId="6" borderId="143" xfId="0" applyNumberFormat="1" applyFont="1" applyFill="1" applyBorder="1" applyAlignment="1">
      <alignment horizontal="center" vertical="center" wrapText="1"/>
    </xf>
    <xf numFmtId="41" fontId="68" fillId="6" borderId="144" xfId="0" applyNumberFormat="1" applyFont="1" applyFill="1" applyBorder="1" applyAlignment="1">
      <alignment horizontal="center" vertical="center" wrapText="1"/>
    </xf>
    <xf numFmtId="41" fontId="68" fillId="6" borderId="145" xfId="0" applyNumberFormat="1" applyFont="1" applyFill="1" applyBorder="1" applyAlignment="1">
      <alignment horizontal="center" vertical="center" wrapText="1"/>
    </xf>
    <xf numFmtId="0" fontId="30" fillId="8" borderId="71" xfId="0" applyFont="1" applyFill="1" applyBorder="1" applyAlignment="1">
      <alignment horizontal="center" vertical="center" wrapText="1"/>
    </xf>
    <xf numFmtId="0" fontId="30" fillId="8" borderId="5" xfId="0" applyFont="1" applyFill="1" applyBorder="1" applyAlignment="1">
      <alignment horizontal="center" vertical="center" wrapText="1"/>
    </xf>
    <xf numFmtId="0" fontId="30" fillId="8" borderId="0" xfId="0" applyFont="1" applyFill="1" applyBorder="1" applyAlignment="1">
      <alignment horizontal="center" vertical="center" wrapText="1"/>
    </xf>
    <xf numFmtId="0" fontId="7" fillId="8" borderId="103" xfId="0" applyFont="1" applyFill="1" applyBorder="1" applyAlignment="1">
      <alignment horizontal="center" vertical="center" wrapText="1"/>
    </xf>
    <xf numFmtId="0" fontId="16" fillId="6" borderId="7" xfId="6" applyFont="1" applyFill="1" applyBorder="1" applyAlignment="1">
      <alignment horizontal="left" wrapText="1" indent="1"/>
    </xf>
    <xf numFmtId="0" fontId="16" fillId="6" borderId="6" xfId="6" applyFont="1" applyFill="1" applyBorder="1" applyAlignment="1">
      <alignment horizontal="left" wrapText="1" indent="1"/>
    </xf>
    <xf numFmtId="0" fontId="16" fillId="6" borderId="8" xfId="6" applyFont="1" applyFill="1" applyBorder="1" applyAlignment="1">
      <alignment horizontal="left" vertical="center" wrapText="1" indent="1"/>
    </xf>
    <xf numFmtId="0" fontId="0" fillId="6" borderId="19" xfId="0" applyFill="1" applyBorder="1"/>
    <xf numFmtId="0" fontId="0" fillId="6" borderId="0" xfId="0" applyFill="1" applyBorder="1"/>
    <xf numFmtId="0" fontId="0" fillId="6" borderId="15" xfId="0" applyFill="1" applyBorder="1"/>
    <xf numFmtId="0" fontId="0" fillId="6" borderId="2" xfId="0" applyFill="1" applyBorder="1"/>
    <xf numFmtId="0" fontId="16" fillId="6" borderId="21" xfId="0" applyFont="1" applyFill="1" applyBorder="1" applyAlignment="1">
      <alignment horizontal="left" vertical="center" wrapText="1" indent="1"/>
    </xf>
    <xf numFmtId="0" fontId="11" fillId="7" borderId="7" xfId="6" applyFont="1" applyFill="1" applyBorder="1" applyAlignment="1">
      <alignment horizontal="left" vertical="center" wrapText="1"/>
    </xf>
    <xf numFmtId="0" fontId="11" fillId="7" borderId="8" xfId="6" applyFont="1" applyFill="1" applyBorder="1" applyAlignment="1">
      <alignment horizontal="left" vertical="center" wrapText="1"/>
    </xf>
    <xf numFmtId="0" fontId="11" fillId="7" borderId="69" xfId="6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 indent="1"/>
    </xf>
    <xf numFmtId="0" fontId="16" fillId="6" borderId="24" xfId="0" applyFont="1" applyFill="1" applyBorder="1" applyAlignment="1">
      <alignment horizontal="left" vertical="center" wrapText="1" indent="1"/>
    </xf>
    <xf numFmtId="0" fontId="16" fillId="6" borderId="26" xfId="0" applyFont="1" applyFill="1" applyBorder="1" applyAlignment="1">
      <alignment horizontal="left" vertical="center" wrapText="1" indent="1"/>
    </xf>
    <xf numFmtId="0" fontId="16" fillId="0" borderId="8" xfId="6" applyFont="1" applyFill="1" applyBorder="1" applyAlignment="1">
      <alignment horizontal="left" vertical="center" wrapText="1" indent="1"/>
    </xf>
    <xf numFmtId="0" fontId="7" fillId="8" borderId="69" xfId="0" applyFont="1" applyFill="1" applyBorder="1" applyAlignment="1">
      <alignment horizontal="center" vertical="center" wrapText="1"/>
    </xf>
    <xf numFmtId="0" fontId="31" fillId="8" borderId="71" xfId="0" applyFont="1" applyFill="1" applyBorder="1" applyAlignment="1">
      <alignment horizontal="center" vertical="center" wrapText="1"/>
    </xf>
    <xf numFmtId="0" fontId="31" fillId="8" borderId="103" xfId="0" applyFont="1" applyFill="1" applyBorder="1" applyAlignment="1">
      <alignment horizontal="center" vertical="center" wrapText="1"/>
    </xf>
    <xf numFmtId="0" fontId="30" fillId="0" borderId="133" xfId="0" applyFont="1" applyFill="1" applyBorder="1" applyAlignment="1">
      <alignment horizontal="center" vertical="center" wrapText="1"/>
    </xf>
    <xf numFmtId="0" fontId="30" fillId="0" borderId="137" xfId="0" applyFont="1" applyFill="1" applyBorder="1" applyAlignment="1">
      <alignment horizontal="center" vertical="center" wrapText="1"/>
    </xf>
    <xf numFmtId="0" fontId="16" fillId="6" borderId="135" xfId="0" applyFont="1" applyFill="1" applyBorder="1" applyAlignment="1">
      <alignment horizontal="left" vertical="center" wrapText="1" indent="1"/>
    </xf>
    <xf numFmtId="0" fontId="16" fillId="0" borderId="131" xfId="0" applyFont="1" applyBorder="1" applyAlignment="1">
      <alignment horizontal="left" vertical="center" wrapText="1" indent="1"/>
    </xf>
    <xf numFmtId="0" fontId="16" fillId="0" borderId="19" xfId="0" applyFont="1" applyBorder="1" applyAlignment="1">
      <alignment horizontal="left" vertical="center" wrapText="1" indent="1"/>
    </xf>
    <xf numFmtId="0" fontId="16" fillId="0" borderId="132" xfId="0" applyFont="1" applyBorder="1" applyAlignment="1">
      <alignment horizontal="left" vertical="center" wrapText="1" indent="1"/>
    </xf>
    <xf numFmtId="0" fontId="16" fillId="0" borderId="18" xfId="0" applyFont="1" applyBorder="1" applyAlignment="1">
      <alignment horizontal="left" vertical="center" wrapText="1" indent="1"/>
    </xf>
    <xf numFmtId="0" fontId="16" fillId="0" borderId="0" xfId="0" applyFont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/>
    </xf>
    <xf numFmtId="0" fontId="16" fillId="0" borderId="15" xfId="0" applyFont="1" applyBorder="1" applyAlignment="1">
      <alignment horizontal="left" vertical="center" wrapText="1" indent="1"/>
    </xf>
    <xf numFmtId="0" fontId="16" fillId="0" borderId="2" xfId="0" applyFont="1" applyBorder="1" applyAlignment="1">
      <alignment horizontal="left" vertical="center" wrapText="1" indent="1"/>
    </xf>
    <xf numFmtId="0" fontId="16" fillId="0" borderId="13" xfId="0" applyFont="1" applyBorder="1" applyAlignment="1">
      <alignment horizontal="left" vertical="center" wrapText="1" indent="1"/>
    </xf>
    <xf numFmtId="41" fontId="16" fillId="3" borderId="143" xfId="0" applyNumberFormat="1" applyFont="1" applyFill="1" applyBorder="1" applyAlignment="1">
      <alignment horizontal="left" vertical="center" wrapText="1" indent="1"/>
    </xf>
    <xf numFmtId="41" fontId="16" fillId="3" borderId="144" xfId="0" applyNumberFormat="1" applyFont="1" applyFill="1" applyBorder="1" applyAlignment="1">
      <alignment horizontal="left" vertical="center" wrapText="1" indent="1"/>
    </xf>
    <xf numFmtId="41" fontId="16" fillId="3" borderId="145" xfId="0" applyNumberFormat="1" applyFont="1" applyFill="1" applyBorder="1" applyAlignment="1">
      <alignment horizontal="left" vertical="center" wrapText="1" indent="1"/>
    </xf>
    <xf numFmtId="41" fontId="16" fillId="6" borderId="35" xfId="0" applyNumberFormat="1" applyFont="1" applyFill="1" applyBorder="1" applyAlignment="1">
      <alignment horizontal="left" vertical="center" wrapText="1" indent="1"/>
    </xf>
    <xf numFmtId="41" fontId="16" fillId="6" borderId="37" xfId="0" applyNumberFormat="1" applyFont="1" applyFill="1" applyBorder="1" applyAlignment="1">
      <alignment horizontal="left" vertical="center" wrapText="1" indent="1"/>
    </xf>
    <xf numFmtId="41" fontId="16" fillId="6" borderId="36" xfId="0" applyNumberFormat="1" applyFont="1" applyFill="1" applyBorder="1" applyAlignment="1">
      <alignment horizontal="left" vertical="center" wrapText="1" indent="1"/>
    </xf>
    <xf numFmtId="41" fontId="16" fillId="3" borderId="24" xfId="0" applyNumberFormat="1" applyFont="1" applyFill="1" applyBorder="1" applyAlignment="1">
      <alignment horizontal="left" vertical="center" wrapText="1" indent="1"/>
    </xf>
    <xf numFmtId="41" fontId="16" fillId="3" borderId="26" xfId="0" applyNumberFormat="1" applyFont="1" applyFill="1" applyBorder="1" applyAlignment="1">
      <alignment horizontal="left" vertical="center" wrapText="1" indent="1"/>
    </xf>
    <xf numFmtId="41" fontId="16" fillId="3" borderId="22" xfId="0" applyNumberFormat="1" applyFont="1" applyFill="1" applyBorder="1" applyAlignment="1">
      <alignment horizontal="left" vertical="center" wrapText="1" indent="1"/>
    </xf>
    <xf numFmtId="0" fontId="11" fillId="7" borderId="133" xfId="6" applyFont="1" applyFill="1" applyBorder="1" applyAlignment="1">
      <alignment horizontal="left" vertical="center" wrapText="1" indent="1"/>
    </xf>
    <xf numFmtId="0" fontId="11" fillId="7" borderId="137" xfId="6" applyFont="1" applyFill="1" applyBorder="1" applyAlignment="1">
      <alignment horizontal="left" vertical="center" wrapText="1" indent="1"/>
    </xf>
    <xf numFmtId="0" fontId="16" fillId="6" borderId="135" xfId="6" applyFont="1" applyFill="1" applyBorder="1" applyAlignment="1">
      <alignment horizontal="left" vertical="center" wrapText="1" indent="1"/>
    </xf>
    <xf numFmtId="0" fontId="16" fillId="6" borderId="133" xfId="6" applyFont="1" applyFill="1" applyBorder="1" applyAlignment="1">
      <alignment horizontal="left" vertical="center" wrapText="1" indent="1"/>
    </xf>
    <xf numFmtId="0" fontId="16" fillId="6" borderId="137" xfId="6" applyFont="1" applyFill="1" applyBorder="1" applyAlignment="1">
      <alignment horizontal="left" vertical="center" wrapText="1" indent="1"/>
    </xf>
    <xf numFmtId="0" fontId="16" fillId="3" borderId="133" xfId="6" applyFont="1" applyFill="1" applyBorder="1" applyAlignment="1">
      <alignment horizontal="left" vertical="center" wrapText="1" indent="1"/>
    </xf>
    <xf numFmtId="0" fontId="16" fillId="3" borderId="134" xfId="6" applyFont="1" applyFill="1" applyBorder="1" applyAlignment="1">
      <alignment horizontal="left" vertical="center" wrapText="1" indent="1"/>
    </xf>
    <xf numFmtId="0" fontId="16" fillId="3" borderId="137" xfId="6" applyFont="1" applyFill="1" applyBorder="1" applyAlignment="1">
      <alignment horizontal="left" vertical="center" wrapText="1" indent="1"/>
    </xf>
    <xf numFmtId="0" fontId="7" fillId="0" borderId="136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09" xfId="0" applyFont="1" applyFill="1" applyBorder="1" applyAlignment="1">
      <alignment horizontal="center" vertical="center" wrapText="1"/>
    </xf>
    <xf numFmtId="0" fontId="17" fillId="6" borderId="131" xfId="6" applyFont="1" applyFill="1" applyBorder="1" applyAlignment="1">
      <alignment horizontal="left" vertical="center" wrapText="1" indent="1"/>
    </xf>
    <xf numFmtId="0" fontId="14" fillId="6" borderId="132" xfId="0" applyFont="1" applyFill="1" applyBorder="1" applyAlignment="1">
      <alignment horizontal="center" vertical="center" textRotation="90" wrapText="1"/>
    </xf>
    <xf numFmtId="0" fontId="14" fillId="6" borderId="1" xfId="0" applyFont="1" applyFill="1" applyBorder="1" applyAlignment="1">
      <alignment horizontal="center" vertical="center" textRotation="90" wrapText="1"/>
    </xf>
    <xf numFmtId="0" fontId="30" fillId="0" borderId="131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180" fillId="0" borderId="0" xfId="284" applyFont="1" applyAlignment="1" applyProtection="1">
      <alignment horizontal="left"/>
      <protection hidden="1"/>
    </xf>
    <xf numFmtId="0" fontId="30" fillId="8" borderId="133" xfId="0" applyFont="1" applyFill="1" applyBorder="1" applyAlignment="1">
      <alignment horizontal="center" vertical="center" wrapText="1"/>
    </xf>
    <xf numFmtId="0" fontId="16" fillId="0" borderId="13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7" fillId="8" borderId="105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left"/>
    </xf>
    <xf numFmtId="0" fontId="16" fillId="6" borderId="6" xfId="6" applyFont="1" applyFill="1" applyBorder="1" applyAlignment="1">
      <alignment horizontal="left" vertical="center" wrapText="1" indent="1"/>
    </xf>
    <xf numFmtId="0" fontId="16" fillId="3" borderId="11" xfId="0" applyFont="1" applyFill="1" applyBorder="1" applyAlignment="1">
      <alignment horizontal="left" vertical="center" wrapText="1" indent="1"/>
    </xf>
    <xf numFmtId="0" fontId="0" fillId="0" borderId="25" xfId="0" applyBorder="1"/>
    <xf numFmtId="0" fontId="16" fillId="6" borderId="35" xfId="0" applyFont="1" applyFill="1" applyBorder="1" applyAlignment="1">
      <alignment horizontal="left" vertical="center" wrapText="1" indent="1"/>
    </xf>
    <xf numFmtId="0" fontId="0" fillId="6" borderId="36" xfId="0" applyFill="1" applyBorder="1"/>
    <xf numFmtId="0" fontId="16" fillId="0" borderId="24" xfId="0" applyFont="1" applyFill="1" applyBorder="1" applyAlignment="1">
      <alignment horizontal="left" vertical="center" wrapText="1" indent="1"/>
    </xf>
    <xf numFmtId="0" fontId="0" fillId="0" borderId="22" xfId="0" applyBorder="1"/>
    <xf numFmtId="0" fontId="14" fillId="7" borderId="56" xfId="6" applyFont="1" applyFill="1" applyBorder="1" applyAlignment="1">
      <alignment horizontal="left" wrapText="1"/>
    </xf>
    <xf numFmtId="0" fontId="14" fillId="7" borderId="57" xfId="6" applyFont="1" applyFill="1" applyBorder="1" applyAlignment="1">
      <alignment horizontal="left" wrapText="1"/>
    </xf>
    <xf numFmtId="0" fontId="16" fillId="0" borderId="23" xfId="0" applyFont="1" applyFill="1" applyBorder="1" applyAlignment="1">
      <alignment horizontal="left" vertical="center" wrapText="1" indent="1"/>
    </xf>
    <xf numFmtId="0" fontId="16" fillId="0" borderId="20" xfId="0" applyFont="1" applyFill="1" applyBorder="1" applyAlignment="1">
      <alignment horizontal="left" vertical="center" wrapText="1" indent="1"/>
    </xf>
    <xf numFmtId="0" fontId="17" fillId="0" borderId="17" xfId="6" applyFont="1" applyFill="1" applyBorder="1" applyAlignment="1">
      <alignment horizontal="left" vertical="center" wrapText="1"/>
    </xf>
    <xf numFmtId="0" fontId="0" fillId="0" borderId="16" xfId="0" applyBorder="1"/>
    <xf numFmtId="0" fontId="0" fillId="0" borderId="18" xfId="0" applyBorder="1"/>
    <xf numFmtId="0" fontId="0" fillId="0" borderId="1" xfId="0" applyBorder="1"/>
    <xf numFmtId="0" fontId="0" fillId="0" borderId="15" xfId="0" applyBorder="1"/>
    <xf numFmtId="0" fontId="0" fillId="0" borderId="13" xfId="0" applyBorder="1"/>
    <xf numFmtId="0" fontId="16" fillId="3" borderId="17" xfId="0" applyFont="1" applyFill="1" applyBorder="1" applyAlignment="1">
      <alignment horizontal="left" vertical="center" wrapText="1" indent="1"/>
    </xf>
    <xf numFmtId="0" fontId="0" fillId="0" borderId="32" xfId="0" applyBorder="1"/>
    <xf numFmtId="0" fontId="0" fillId="0" borderId="33" xfId="0" applyBorder="1"/>
    <xf numFmtId="0" fontId="30" fillId="0" borderId="7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16" fillId="6" borderId="71" xfId="0" applyFont="1" applyFill="1" applyBorder="1" applyAlignment="1">
      <alignment horizontal="left" vertical="center" wrapText="1" indent="1"/>
    </xf>
    <xf numFmtId="0" fontId="16" fillId="6" borderId="131" xfId="0" applyFont="1" applyFill="1" applyBorder="1" applyAlignment="1">
      <alignment horizontal="left" vertical="center" wrapText="1" indent="1"/>
    </xf>
    <xf numFmtId="41" fontId="16" fillId="3" borderId="23" xfId="0" applyNumberFormat="1" applyFont="1" applyFill="1" applyBorder="1" applyAlignment="1">
      <alignment horizontal="left" vertical="center" wrapText="1" indent="1"/>
    </xf>
    <xf numFmtId="41" fontId="16" fillId="3" borderId="21" xfId="0" applyNumberFormat="1" applyFont="1" applyFill="1" applyBorder="1" applyAlignment="1">
      <alignment horizontal="left" vertical="center" wrapText="1" indent="1"/>
    </xf>
    <xf numFmtId="41" fontId="16" fillId="3" borderId="20" xfId="0" applyNumberFormat="1" applyFont="1" applyFill="1" applyBorder="1" applyAlignment="1">
      <alignment horizontal="left" vertical="center" wrapText="1" indent="1"/>
    </xf>
    <xf numFmtId="41" fontId="16" fillId="6" borderId="143" xfId="0" applyNumberFormat="1" applyFont="1" applyFill="1" applyBorder="1" applyAlignment="1">
      <alignment horizontal="left" vertical="center" wrapText="1" indent="1"/>
    </xf>
    <xf numFmtId="41" fontId="16" fillId="6" borderId="144" xfId="0" applyNumberFormat="1" applyFont="1" applyFill="1" applyBorder="1" applyAlignment="1">
      <alignment horizontal="left" vertical="center" wrapText="1" indent="1"/>
    </xf>
    <xf numFmtId="41" fontId="16" fillId="6" borderId="145" xfId="0" applyNumberFormat="1" applyFont="1" applyFill="1" applyBorder="1" applyAlignment="1">
      <alignment horizontal="left" vertical="center" wrapText="1" indent="1"/>
    </xf>
    <xf numFmtId="41" fontId="16" fillId="0" borderId="24" xfId="0" applyNumberFormat="1" applyFont="1" applyFill="1" applyBorder="1" applyAlignment="1">
      <alignment horizontal="left" vertical="center" wrapText="1" indent="1"/>
    </xf>
    <xf numFmtId="41" fontId="16" fillId="0" borderId="26" xfId="0" applyNumberFormat="1" applyFont="1" applyFill="1" applyBorder="1" applyAlignment="1">
      <alignment horizontal="left" vertical="center" wrapText="1" indent="1"/>
    </xf>
    <xf numFmtId="41" fontId="16" fillId="0" borderId="22" xfId="0" applyNumberFormat="1" applyFont="1" applyFill="1" applyBorder="1" applyAlignment="1">
      <alignment horizontal="left" vertical="center" wrapText="1" indent="1"/>
    </xf>
    <xf numFmtId="0" fontId="16" fillId="0" borderId="17" xfId="0" applyFont="1" applyBorder="1" applyAlignment="1">
      <alignment horizontal="left" vertical="center" wrapText="1" indent="1"/>
    </xf>
    <xf numFmtId="0" fontId="16" fillId="0" borderId="16" xfId="0" applyFont="1" applyBorder="1" applyAlignment="1">
      <alignment horizontal="left" vertical="center" wrapText="1" indent="1"/>
    </xf>
    <xf numFmtId="0" fontId="30" fillId="0" borderId="11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17" fillId="0" borderId="19" xfId="6" applyFont="1" applyFill="1" applyBorder="1" applyAlignment="1">
      <alignment horizontal="left" vertical="center" wrapText="1"/>
    </xf>
    <xf numFmtId="0" fontId="31" fillId="8" borderId="135" xfId="0" applyFont="1" applyFill="1" applyBorder="1" applyAlignment="1">
      <alignment horizontal="center" vertical="center" wrapText="1"/>
    </xf>
    <xf numFmtId="0" fontId="17" fillId="0" borderId="17" xfId="6" applyFont="1" applyFill="1" applyBorder="1" applyAlignment="1">
      <alignment horizontal="center" vertical="center" wrapText="1"/>
    </xf>
    <xf numFmtId="0" fontId="17" fillId="0" borderId="16" xfId="6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7" fillId="0" borderId="15" xfId="6" applyFont="1" applyFill="1" applyBorder="1" applyAlignment="1">
      <alignment horizontal="center" vertical="center" wrapText="1"/>
    </xf>
    <xf numFmtId="0" fontId="17" fillId="0" borderId="13" xfId="6" applyFont="1" applyFill="1" applyBorder="1" applyAlignment="1">
      <alignment horizontal="center" vertical="center" wrapText="1"/>
    </xf>
    <xf numFmtId="0" fontId="16" fillId="3" borderId="74" xfId="0" applyFont="1" applyFill="1" applyBorder="1" applyAlignment="1">
      <alignment horizontal="left" vertical="center" wrapText="1"/>
    </xf>
    <xf numFmtId="0" fontId="16" fillId="3" borderId="75" xfId="0" applyFont="1" applyFill="1" applyBorder="1" applyAlignment="1">
      <alignment horizontal="left" vertical="center" wrapText="1"/>
    </xf>
    <xf numFmtId="0" fontId="16" fillId="6" borderId="35" xfId="0" applyFont="1" applyFill="1" applyBorder="1" applyAlignment="1">
      <alignment horizontal="left" vertical="center" wrapText="1"/>
    </xf>
    <xf numFmtId="0" fontId="16" fillId="6" borderId="36" xfId="0" applyFont="1" applyFill="1" applyBorder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2" xfId="0" applyFont="1" applyFill="1" applyBorder="1" applyAlignment="1">
      <alignment horizontal="left" vertical="center" wrapText="1"/>
    </xf>
    <xf numFmtId="0" fontId="14" fillId="6" borderId="135" xfId="6" applyFont="1" applyFill="1" applyBorder="1" applyAlignment="1">
      <alignment horizontal="center" vertical="center" textRotation="90" wrapText="1"/>
    </xf>
    <xf numFmtId="43" fontId="77" fillId="0" borderId="0" xfId="7" applyFont="1" applyBorder="1" applyAlignment="1">
      <alignment horizontal="center" vertical="center" textRotation="90" wrapText="1"/>
    </xf>
    <xf numFmtId="0" fontId="16" fillId="3" borderId="36" xfId="0" applyFont="1" applyFill="1" applyBorder="1" applyAlignment="1">
      <alignment horizontal="left" vertical="center" wrapText="1" indent="1"/>
    </xf>
    <xf numFmtId="0" fontId="31" fillId="3" borderId="72" xfId="0" applyFont="1" applyFill="1" applyBorder="1" applyAlignment="1">
      <alignment horizontal="center" vertical="center" wrapText="1"/>
    </xf>
    <xf numFmtId="0" fontId="31" fillId="3" borderId="69" xfId="0" applyFont="1" applyFill="1" applyBorder="1" applyAlignment="1">
      <alignment horizontal="center" vertical="center" wrapText="1"/>
    </xf>
    <xf numFmtId="0" fontId="31" fillId="3" borderId="70" xfId="0" applyFont="1" applyFill="1" applyBorder="1" applyAlignment="1">
      <alignment horizontal="center" vertical="center" wrapText="1"/>
    </xf>
    <xf numFmtId="41" fontId="68" fillId="3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41" fontId="15" fillId="6" borderId="133" xfId="0" applyNumberFormat="1" applyFont="1" applyFill="1" applyBorder="1" applyAlignment="1">
      <alignment horizontal="center" wrapText="1"/>
    </xf>
    <xf numFmtId="41" fontId="15" fillId="6" borderId="137" xfId="0" applyNumberFormat="1" applyFont="1" applyFill="1" applyBorder="1" applyAlignment="1">
      <alignment horizontal="center" wrapText="1"/>
    </xf>
    <xf numFmtId="41" fontId="15" fillId="6" borderId="134" xfId="0" applyNumberFormat="1" applyFont="1" applyFill="1" applyBorder="1" applyAlignment="1">
      <alignment horizontal="center" wrapText="1"/>
    </xf>
    <xf numFmtId="9" fontId="59" fillId="3" borderId="74" xfId="0" applyNumberFormat="1" applyFont="1" applyFill="1" applyBorder="1" applyAlignment="1">
      <alignment horizontal="center" vertical="center" wrapText="1"/>
    </xf>
    <xf numFmtId="41" fontId="59" fillId="3" borderId="120" xfId="0" applyNumberFormat="1" applyFont="1" applyFill="1" applyBorder="1" applyAlignment="1">
      <alignment horizontal="center" vertical="center" wrapText="1"/>
    </xf>
    <xf numFmtId="41" fontId="59" fillId="3" borderId="75" xfId="0" applyNumberFormat="1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9" fontId="59" fillId="3" borderId="24" xfId="0" applyNumberFormat="1" applyFont="1" applyFill="1" applyBorder="1" applyAlignment="1">
      <alignment horizontal="center" vertical="center" wrapText="1"/>
    </xf>
    <xf numFmtId="41" fontId="59" fillId="3" borderId="26" xfId="0" applyNumberFormat="1" applyFont="1" applyFill="1" applyBorder="1" applyAlignment="1">
      <alignment horizontal="center" vertical="center" wrapText="1"/>
    </xf>
    <xf numFmtId="41" fontId="59" fillId="3" borderId="22" xfId="0" applyNumberFormat="1" applyFont="1" applyFill="1" applyBorder="1" applyAlignment="1">
      <alignment horizontal="center" vertical="center" wrapText="1"/>
    </xf>
    <xf numFmtId="41" fontId="65" fillId="6" borderId="143" xfId="0" applyNumberFormat="1" applyFont="1" applyFill="1" applyBorder="1" applyAlignment="1">
      <alignment horizontal="center" vertical="center" wrapText="1"/>
    </xf>
    <xf numFmtId="41" fontId="65" fillId="6" borderId="144" xfId="0" applyNumberFormat="1" applyFont="1" applyFill="1" applyBorder="1" applyAlignment="1">
      <alignment horizontal="center" vertical="center" wrapText="1"/>
    </xf>
    <xf numFmtId="41" fontId="65" fillId="6" borderId="145" xfId="0" applyNumberFormat="1" applyFont="1" applyFill="1" applyBorder="1" applyAlignment="1">
      <alignment horizontal="center" vertical="center" wrapText="1"/>
    </xf>
    <xf numFmtId="9" fontId="59" fillId="6" borderId="35" xfId="0" applyNumberFormat="1" applyFont="1" applyFill="1" applyBorder="1" applyAlignment="1">
      <alignment horizontal="center" vertical="center" wrapText="1"/>
    </xf>
    <xf numFmtId="41" fontId="59" fillId="6" borderId="37" xfId="0" applyNumberFormat="1" applyFont="1" applyFill="1" applyBorder="1" applyAlignment="1">
      <alignment horizontal="center" vertical="center" wrapText="1"/>
    </xf>
    <xf numFmtId="41" fontId="59" fillId="6" borderId="36" xfId="0" applyNumberFormat="1" applyFont="1" applyFill="1" applyBorder="1" applyAlignment="1">
      <alignment horizontal="center" vertical="center" wrapText="1"/>
    </xf>
    <xf numFmtId="41" fontId="65" fillId="3" borderId="24" xfId="0" applyNumberFormat="1" applyFont="1" applyFill="1" applyBorder="1" applyAlignment="1">
      <alignment horizontal="center" vertical="center" wrapText="1"/>
    </xf>
    <xf numFmtId="41" fontId="65" fillId="3" borderId="26" xfId="0" applyNumberFormat="1" applyFont="1" applyFill="1" applyBorder="1" applyAlignment="1">
      <alignment horizontal="center" vertical="center" wrapText="1"/>
    </xf>
    <xf numFmtId="41" fontId="65" fillId="3" borderId="22" xfId="0" applyNumberFormat="1" applyFont="1" applyFill="1" applyBorder="1" applyAlignment="1">
      <alignment horizontal="center" vertical="center" wrapText="1"/>
    </xf>
    <xf numFmtId="43" fontId="77" fillId="0" borderId="18" xfId="7" applyFont="1" applyBorder="1" applyAlignment="1">
      <alignment horizontal="center" vertical="center" textRotation="90" wrapText="1"/>
    </xf>
    <xf numFmtId="0" fontId="16" fillId="6" borderId="135" xfId="46" applyFont="1" applyFill="1" applyBorder="1" applyAlignment="1">
      <alignment horizontal="center" vertical="center" wrapText="1"/>
    </xf>
    <xf numFmtId="0" fontId="16" fillId="6" borderId="105" xfId="46" applyFont="1" applyFill="1" applyBorder="1" applyAlignment="1">
      <alignment horizontal="center" vertical="center" wrapText="1"/>
    </xf>
    <xf numFmtId="0" fontId="16" fillId="6" borderId="14" xfId="46" applyFont="1" applyFill="1" applyBorder="1" applyAlignment="1">
      <alignment horizontal="center" vertical="center" wrapText="1"/>
    </xf>
    <xf numFmtId="0" fontId="16" fillId="6" borderId="109" xfId="46" applyFont="1" applyFill="1" applyBorder="1" applyAlignment="1">
      <alignment horizontal="center" vertical="center" wrapText="1"/>
    </xf>
    <xf numFmtId="0" fontId="16" fillId="0" borderId="133" xfId="0" applyFont="1" applyFill="1" applyBorder="1" applyAlignment="1">
      <alignment horizontal="left" vertical="center" wrapText="1" indent="1"/>
    </xf>
    <xf numFmtId="0" fontId="16" fillId="0" borderId="134" xfId="0" applyFont="1" applyFill="1" applyBorder="1" applyAlignment="1">
      <alignment horizontal="left" vertical="center" wrapText="1" indent="1"/>
    </xf>
    <xf numFmtId="0" fontId="16" fillId="6" borderId="133" xfId="0" applyFont="1" applyFill="1" applyBorder="1" applyAlignment="1">
      <alignment horizontal="left" vertical="center" wrapText="1" indent="1"/>
    </xf>
    <xf numFmtId="0" fontId="16" fillId="6" borderId="134" xfId="0" applyFont="1" applyFill="1" applyBorder="1" applyAlignment="1">
      <alignment horizontal="left" vertical="center" wrapText="1" indent="1"/>
    </xf>
    <xf numFmtId="0" fontId="202" fillId="0" borderId="133" xfId="46" applyFont="1" applyFill="1" applyBorder="1" applyAlignment="1">
      <alignment horizontal="center" vertical="center" wrapText="1"/>
    </xf>
    <xf numFmtId="0" fontId="202" fillId="0" borderId="137" xfId="46" applyFont="1" applyFill="1" applyBorder="1" applyAlignment="1">
      <alignment horizontal="center" vertical="center" wrapText="1"/>
    </xf>
    <xf numFmtId="0" fontId="202" fillId="0" borderId="2" xfId="46" applyFont="1" applyFill="1" applyBorder="1" applyAlignment="1">
      <alignment horizontal="center" vertical="center" wrapText="1"/>
    </xf>
    <xf numFmtId="9" fontId="77" fillId="3" borderId="107" xfId="112" applyFont="1" applyFill="1" applyBorder="1" applyAlignment="1">
      <alignment horizontal="center"/>
    </xf>
    <xf numFmtId="9" fontId="77" fillId="3" borderId="19" xfId="112" applyFont="1" applyFill="1" applyBorder="1" applyAlignment="1">
      <alignment horizontal="center"/>
    </xf>
    <xf numFmtId="9" fontId="77" fillId="3" borderId="102" xfId="112" applyFont="1" applyFill="1" applyBorder="1" applyAlignment="1">
      <alignment horizontal="center"/>
    </xf>
    <xf numFmtId="0" fontId="14" fillId="3" borderId="135" xfId="46" applyFont="1" applyFill="1" applyBorder="1" applyAlignment="1">
      <alignment horizontal="center" vertical="center" wrapText="1"/>
    </xf>
    <xf numFmtId="0" fontId="14" fillId="0" borderId="133" xfId="46" applyFont="1" applyBorder="1" applyAlignment="1">
      <alignment horizontal="center" vertical="center"/>
    </xf>
    <xf numFmtId="0" fontId="14" fillId="0" borderId="137" xfId="46" applyFont="1" applyBorder="1" applyAlignment="1">
      <alignment horizontal="center" vertical="center"/>
    </xf>
    <xf numFmtId="0" fontId="14" fillId="0" borderId="134" xfId="46" applyFont="1" applyBorder="1" applyAlignment="1">
      <alignment horizontal="center" vertical="center"/>
    </xf>
    <xf numFmtId="0" fontId="15" fillId="0" borderId="135" xfId="46" applyFont="1" applyBorder="1" applyAlignment="1">
      <alignment horizontal="center" vertical="center" wrapText="1"/>
    </xf>
    <xf numFmtId="0" fontId="15" fillId="0" borderId="133" xfId="46" applyFont="1" applyBorder="1" applyAlignment="1">
      <alignment horizontal="center" vertical="center" wrapText="1"/>
    </xf>
    <xf numFmtId="9" fontId="77" fillId="3" borderId="213" xfId="112" applyFont="1" applyFill="1" applyBorder="1" applyAlignment="1">
      <alignment horizontal="center"/>
    </xf>
    <xf numFmtId="9" fontId="77" fillId="3" borderId="0" xfId="112" applyFont="1" applyFill="1" applyBorder="1" applyAlignment="1">
      <alignment horizontal="center"/>
    </xf>
    <xf numFmtId="0" fontId="14" fillId="0" borderId="197" xfId="46" applyFont="1" applyFill="1" applyBorder="1" applyAlignment="1">
      <alignment horizontal="center" vertical="center"/>
    </xf>
    <xf numFmtId="0" fontId="14" fillId="0" borderId="134" xfId="46" applyFont="1" applyFill="1" applyBorder="1" applyAlignment="1">
      <alignment horizontal="center" vertical="center"/>
    </xf>
    <xf numFmtId="167" fontId="16" fillId="0" borderId="103" xfId="0" applyNumberFormat="1" applyFont="1" applyFill="1" applyBorder="1" applyAlignment="1">
      <alignment horizontal="center" vertical="center" wrapText="1"/>
    </xf>
    <xf numFmtId="0" fontId="14" fillId="3" borderId="29" xfId="46" applyFont="1" applyFill="1" applyBorder="1" applyAlignment="1">
      <alignment horizontal="center" vertical="center" wrapText="1"/>
    </xf>
    <xf numFmtId="0" fontId="14" fillId="3" borderId="174" xfId="46" applyFont="1" applyFill="1" applyBorder="1" applyAlignment="1">
      <alignment horizontal="center" vertical="center" wrapText="1"/>
    </xf>
    <xf numFmtId="0" fontId="14" fillId="3" borderId="41" xfId="46" applyFont="1" applyFill="1" applyBorder="1" applyAlignment="1">
      <alignment horizontal="center" vertical="center" wrapText="1"/>
    </xf>
    <xf numFmtId="0" fontId="14" fillId="3" borderId="150" xfId="46" applyFont="1" applyFill="1" applyBorder="1" applyAlignment="1">
      <alignment horizontal="center" vertical="center" wrapText="1"/>
    </xf>
    <xf numFmtId="0" fontId="14" fillId="0" borderId="71" xfId="46" applyFont="1" applyFill="1" applyBorder="1" applyAlignment="1">
      <alignment horizontal="center" vertical="center"/>
    </xf>
    <xf numFmtId="0" fontId="14" fillId="0" borderId="133" xfId="46" applyFont="1" applyFill="1" applyBorder="1" applyAlignment="1">
      <alignment horizontal="center" vertical="center"/>
    </xf>
    <xf numFmtId="167" fontId="16" fillId="0" borderId="11" xfId="0" applyNumberFormat="1" applyFont="1" applyFill="1" applyBorder="1" applyAlignment="1">
      <alignment horizontal="center" vertical="center" wrapText="1"/>
    </xf>
    <xf numFmtId="167" fontId="16" fillId="0" borderId="14" xfId="0" applyNumberFormat="1" applyFont="1" applyFill="1" applyBorder="1" applyAlignment="1">
      <alignment horizontal="center" vertical="center" wrapText="1"/>
    </xf>
    <xf numFmtId="0" fontId="16" fillId="0" borderId="197" xfId="46" applyFont="1" applyFill="1" applyBorder="1" applyAlignment="1">
      <alignment horizontal="center" vertical="top" wrapText="1"/>
    </xf>
    <xf numFmtId="0" fontId="16" fillId="0" borderId="134" xfId="46" applyFont="1" applyFill="1" applyBorder="1" applyAlignment="1">
      <alignment horizontal="center" vertical="top" wrapText="1"/>
    </xf>
    <xf numFmtId="0" fontId="16" fillId="0" borderId="105" xfId="46" applyFont="1" applyFill="1" applyBorder="1" applyAlignment="1">
      <alignment horizontal="center" vertical="top" wrapText="1"/>
    </xf>
    <xf numFmtId="0" fontId="16" fillId="0" borderId="109" xfId="46" applyFont="1" applyFill="1" applyBorder="1" applyAlignment="1">
      <alignment horizontal="center" vertical="top" wrapText="1"/>
    </xf>
    <xf numFmtId="0" fontId="16" fillId="0" borderId="107" xfId="46" applyFont="1" applyFill="1" applyBorder="1" applyAlignment="1">
      <alignment horizontal="center" vertical="top" wrapText="1"/>
    </xf>
    <xf numFmtId="0" fontId="16" fillId="0" borderId="15" xfId="46" applyFont="1" applyFill="1" applyBorder="1" applyAlignment="1">
      <alignment horizontal="center" vertical="top" wrapText="1"/>
    </xf>
    <xf numFmtId="167" fontId="16" fillId="0" borderId="72" xfId="0" applyNumberFormat="1" applyFont="1" applyFill="1" applyBorder="1" applyAlignment="1">
      <alignment horizontal="left" vertical="center" wrapText="1"/>
    </xf>
    <xf numFmtId="167" fontId="16" fillId="0" borderId="70" xfId="0" applyNumberFormat="1" applyFont="1" applyFill="1" applyBorder="1" applyAlignment="1">
      <alignment horizontal="left" vertical="center" wrapText="1"/>
    </xf>
    <xf numFmtId="167" fontId="17" fillId="0" borderId="72" xfId="0" applyNumberFormat="1" applyFont="1" applyFill="1" applyBorder="1" applyAlignment="1">
      <alignment horizontal="left" vertical="center" wrapText="1"/>
    </xf>
    <xf numFmtId="167" fontId="17" fillId="0" borderId="70" xfId="0" applyNumberFormat="1" applyFont="1" applyFill="1" applyBorder="1" applyAlignment="1">
      <alignment horizontal="left" vertical="center" wrapText="1"/>
    </xf>
    <xf numFmtId="167" fontId="16" fillId="0" borderId="17" xfId="0" applyNumberFormat="1" applyFont="1" applyFill="1" applyBorder="1" applyAlignment="1">
      <alignment horizontal="center" vertical="center" wrapText="1"/>
    </xf>
    <xf numFmtId="167" fontId="16" fillId="0" borderId="16" xfId="0" applyNumberFormat="1" applyFont="1" applyFill="1" applyBorder="1" applyAlignment="1">
      <alignment horizontal="center" vertical="center" wrapText="1"/>
    </xf>
    <xf numFmtId="167" fontId="16" fillId="0" borderId="18" xfId="0" applyNumberFormat="1" applyFont="1" applyFill="1" applyBorder="1" applyAlignment="1">
      <alignment horizontal="center" vertical="center" wrapText="1"/>
    </xf>
    <xf numFmtId="167" fontId="16" fillId="0" borderId="1" xfId="0" applyNumberFormat="1" applyFont="1" applyFill="1" applyBorder="1" applyAlignment="1">
      <alignment horizontal="center" vertical="center" wrapText="1"/>
    </xf>
    <xf numFmtId="9" fontId="77" fillId="3" borderId="208" xfId="112" applyFont="1" applyFill="1" applyBorder="1" applyAlignment="1">
      <alignment horizontal="center"/>
    </xf>
    <xf numFmtId="9" fontId="77" fillId="3" borderId="2" xfId="112" applyFont="1" applyFill="1" applyBorder="1" applyAlignment="1">
      <alignment horizontal="center"/>
    </xf>
    <xf numFmtId="167" fontId="15" fillId="0" borderId="0" xfId="0" applyNumberFormat="1" applyFont="1" applyFill="1" applyBorder="1" applyAlignment="1">
      <alignment horizontal="left" vertical="center" wrapText="1"/>
    </xf>
    <xf numFmtId="167" fontId="16" fillId="6" borderId="171" xfId="0" applyNumberFormat="1" applyFont="1" applyFill="1" applyBorder="1" applyAlignment="1">
      <alignment horizontal="left" vertical="center" wrapText="1"/>
    </xf>
    <xf numFmtId="167" fontId="16" fillId="6" borderId="182" xfId="0" applyNumberFormat="1" applyFont="1" applyFill="1" applyBorder="1" applyAlignment="1">
      <alignment horizontal="left" vertical="center" wrapText="1"/>
    </xf>
    <xf numFmtId="167" fontId="16" fillId="0" borderId="15" xfId="0" applyNumberFormat="1" applyFont="1" applyFill="1" applyBorder="1" applyAlignment="1">
      <alignment horizontal="left" vertical="center" wrapText="1"/>
    </xf>
    <xf numFmtId="167" fontId="16" fillId="0" borderId="184" xfId="0" applyNumberFormat="1" applyFont="1" applyFill="1" applyBorder="1" applyAlignment="1">
      <alignment horizontal="left" vertical="center" wrapText="1"/>
    </xf>
    <xf numFmtId="0" fontId="17" fillId="7" borderId="70" xfId="0" applyFont="1" applyFill="1" applyBorder="1" applyAlignment="1">
      <alignment horizontal="left" vertical="center" wrapText="1"/>
    </xf>
    <xf numFmtId="0" fontId="17" fillId="7" borderId="15" xfId="0" applyFont="1" applyFill="1" applyBorder="1" applyAlignment="1">
      <alignment horizontal="left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61" fillId="0" borderId="154" xfId="76" applyFont="1" applyBorder="1" applyAlignment="1">
      <alignment horizontal="center" vertical="center"/>
    </xf>
    <xf numFmtId="0" fontId="61" fillId="0" borderId="156" xfId="76" applyFont="1" applyBorder="1" applyAlignment="1">
      <alignment horizontal="center" vertical="center"/>
    </xf>
    <xf numFmtId="167" fontId="16" fillId="0" borderId="170" xfId="0" applyNumberFormat="1" applyFont="1" applyFill="1" applyBorder="1" applyAlignment="1">
      <alignment horizontal="left" vertical="center" wrapText="1"/>
    </xf>
    <xf numFmtId="167" fontId="16" fillId="0" borderId="183" xfId="0" applyNumberFormat="1" applyFont="1" applyFill="1" applyBorder="1" applyAlignment="1">
      <alignment horizontal="left" vertical="center" wrapText="1"/>
    </xf>
    <xf numFmtId="0" fontId="17" fillId="7" borderId="13" xfId="0" applyFont="1" applyFill="1" applyBorder="1" applyAlignment="1">
      <alignment horizontal="left" vertical="center" wrapText="1"/>
    </xf>
    <xf numFmtId="0" fontId="14" fillId="3" borderId="133" xfId="46" applyFont="1" applyFill="1" applyBorder="1" applyAlignment="1">
      <alignment horizontal="center" vertical="center" wrapText="1"/>
    </xf>
    <xf numFmtId="0" fontId="14" fillId="3" borderId="137" xfId="46" applyFont="1" applyFill="1" applyBorder="1" applyAlignment="1">
      <alignment horizontal="center" vertical="center" wrapText="1"/>
    </xf>
    <xf numFmtId="0" fontId="14" fillId="3" borderId="134" xfId="46" applyFont="1" applyFill="1" applyBorder="1" applyAlignment="1">
      <alignment horizontal="center" vertical="center" wrapText="1"/>
    </xf>
    <xf numFmtId="0" fontId="14" fillId="0" borderId="133" xfId="46" applyFont="1" applyFill="1" applyBorder="1" applyAlignment="1">
      <alignment horizontal="center" vertical="center" wrapText="1"/>
    </xf>
    <xf numFmtId="0" fontId="14" fillId="0" borderId="137" xfId="46" applyFont="1" applyFill="1" applyBorder="1" applyAlignment="1">
      <alignment horizontal="center" vertical="center" wrapText="1"/>
    </xf>
    <xf numFmtId="0" fontId="14" fillId="0" borderId="134" xfId="46" applyFont="1" applyFill="1" applyBorder="1" applyAlignment="1">
      <alignment horizontal="center" vertical="center" wrapText="1"/>
    </xf>
    <xf numFmtId="0" fontId="18" fillId="0" borderId="29" xfId="46" applyFont="1" applyFill="1" applyBorder="1" applyAlignment="1">
      <alignment horizontal="center" vertical="center" wrapText="1"/>
    </xf>
    <xf numFmtId="0" fontId="18" fillId="0" borderId="41" xfId="46" applyFont="1" applyFill="1" applyBorder="1" applyAlignment="1">
      <alignment horizontal="center" vertical="center" wrapText="1"/>
    </xf>
    <xf numFmtId="0" fontId="18" fillId="0" borderId="30" xfId="46" applyFont="1" applyFill="1" applyBorder="1" applyAlignment="1">
      <alignment horizontal="center" vertical="center" wrapText="1"/>
    </xf>
    <xf numFmtId="0" fontId="14" fillId="0" borderId="71" xfId="46" applyFont="1" applyFill="1" applyBorder="1" applyAlignment="1">
      <alignment horizontal="center" vertical="center" textRotation="90" wrapText="1"/>
    </xf>
    <xf numFmtId="0" fontId="15" fillId="6" borderId="71" xfId="46" applyFont="1" applyFill="1" applyBorder="1" applyAlignment="1">
      <alignment horizontal="center" vertical="center" wrapText="1"/>
    </xf>
    <xf numFmtId="0" fontId="15" fillId="3" borderId="71" xfId="46" applyFont="1" applyFill="1" applyBorder="1" applyAlignment="1">
      <alignment horizontal="center" vertical="center" wrapText="1"/>
    </xf>
    <xf numFmtId="0" fontId="43" fillId="0" borderId="0" xfId="46" applyFont="1" applyBorder="1" applyAlignment="1">
      <alignment horizontal="left" vertical="center" wrapText="1"/>
    </xf>
    <xf numFmtId="0" fontId="30" fillId="0" borderId="71" xfId="46" applyFont="1" applyBorder="1" applyAlignment="1">
      <alignment horizontal="center" vertical="center" textRotation="90"/>
    </xf>
    <xf numFmtId="0" fontId="30" fillId="0" borderId="71" xfId="46" applyFont="1" applyBorder="1" applyAlignment="1">
      <alignment horizontal="center" vertical="center" wrapText="1"/>
    </xf>
    <xf numFmtId="0" fontId="30" fillId="0" borderId="72" xfId="46" applyFont="1" applyBorder="1" applyAlignment="1">
      <alignment horizontal="center" vertical="center" wrapText="1"/>
    </xf>
    <xf numFmtId="0" fontId="43" fillId="0" borderId="2" xfId="46" applyFont="1" applyBorder="1" applyAlignment="1">
      <alignment horizontal="left" vertical="center" wrapText="1"/>
    </xf>
    <xf numFmtId="0" fontId="18" fillId="0" borderId="11" xfId="69" applyFont="1" applyFill="1" applyBorder="1" applyAlignment="1" applyProtection="1">
      <alignment horizontal="center" vertical="center" wrapText="1"/>
      <protection hidden="1"/>
    </xf>
    <xf numFmtId="0" fontId="18" fillId="0" borderId="14" xfId="69" applyFont="1" applyFill="1" applyBorder="1" applyAlignment="1" applyProtection="1">
      <alignment horizontal="center" vertical="center" wrapText="1"/>
      <protection hidden="1"/>
    </xf>
    <xf numFmtId="0" fontId="18" fillId="0" borderId="12" xfId="69" applyFont="1" applyFill="1" applyBorder="1" applyAlignment="1" applyProtection="1">
      <alignment horizontal="center" vertical="center" wrapText="1"/>
      <protection hidden="1"/>
    </xf>
    <xf numFmtId="0" fontId="14" fillId="6" borderId="11" xfId="46" applyFont="1" applyFill="1" applyBorder="1" applyAlignment="1">
      <alignment horizontal="center" vertical="center" textRotation="90" wrapText="1"/>
    </xf>
    <xf numFmtId="0" fontId="14" fillId="6" borderId="14" xfId="46" applyFont="1" applyFill="1" applyBorder="1" applyAlignment="1">
      <alignment horizontal="center" vertical="center" textRotation="90" wrapText="1"/>
    </xf>
    <xf numFmtId="0" fontId="14" fillId="6" borderId="109" xfId="46" applyFont="1" applyFill="1" applyBorder="1" applyAlignment="1">
      <alignment horizontal="center" vertical="center" textRotation="90" wrapText="1"/>
    </xf>
    <xf numFmtId="0" fontId="15" fillId="0" borderId="17" xfId="69" applyFont="1" applyFill="1" applyBorder="1" applyAlignment="1" applyProtection="1">
      <alignment horizontal="center" vertical="center"/>
      <protection hidden="1"/>
    </xf>
    <xf numFmtId="0" fontId="15" fillId="0" borderId="15" xfId="69" applyFont="1" applyFill="1" applyBorder="1" applyAlignment="1" applyProtection="1">
      <alignment horizontal="center" vertical="center"/>
      <protection hidden="1"/>
    </xf>
    <xf numFmtId="0" fontId="16" fillId="0" borderId="11" xfId="69" applyFont="1" applyFill="1" applyBorder="1" applyAlignment="1" applyProtection="1">
      <alignment horizontal="center" wrapText="1"/>
      <protection hidden="1"/>
    </xf>
    <xf numFmtId="0" fontId="16" fillId="0" borderId="12" xfId="69" applyFont="1" applyFill="1" applyBorder="1" applyAlignment="1" applyProtection="1">
      <alignment horizontal="center" wrapText="1"/>
      <protection hidden="1"/>
    </xf>
    <xf numFmtId="0" fontId="18" fillId="0" borderId="17" xfId="69" applyFont="1" applyFill="1" applyBorder="1" applyAlignment="1" applyProtection="1">
      <alignment horizontal="center" vertical="center" wrapText="1"/>
      <protection hidden="1"/>
    </xf>
    <xf numFmtId="0" fontId="18" fillId="0" borderId="19" xfId="69" applyFont="1" applyFill="1" applyBorder="1" applyAlignment="1" applyProtection="1">
      <alignment horizontal="center" vertical="center"/>
      <protection hidden="1"/>
    </xf>
    <xf numFmtId="0" fontId="18" fillId="0" borderId="16" xfId="69" applyFont="1" applyFill="1" applyBorder="1" applyAlignment="1" applyProtection="1">
      <alignment horizontal="center" vertical="center"/>
      <protection hidden="1"/>
    </xf>
    <xf numFmtId="0" fontId="18" fillId="0" borderId="0" xfId="69" applyFont="1" applyFill="1" applyBorder="1" applyAlignment="1" applyProtection="1">
      <alignment horizontal="center" vertical="center"/>
      <protection hidden="1"/>
    </xf>
    <xf numFmtId="0" fontId="18" fillId="0" borderId="1" xfId="69" applyFont="1" applyFill="1" applyBorder="1" applyAlignment="1" applyProtection="1">
      <alignment horizontal="center" vertical="center"/>
      <protection hidden="1"/>
    </xf>
    <xf numFmtId="0" fontId="18" fillId="0" borderId="15" xfId="69" applyFont="1" applyFill="1" applyBorder="1" applyAlignment="1" applyProtection="1">
      <alignment horizontal="center" vertical="center"/>
      <protection hidden="1"/>
    </xf>
    <xf numFmtId="0" fontId="18" fillId="0" borderId="2" xfId="69" applyFont="1" applyFill="1" applyBorder="1" applyAlignment="1" applyProtection="1">
      <alignment horizontal="center" vertical="center"/>
      <protection hidden="1"/>
    </xf>
    <xf numFmtId="0" fontId="18" fillId="0" borderId="13" xfId="69" applyFont="1" applyFill="1" applyBorder="1" applyAlignment="1" applyProtection="1">
      <alignment horizontal="center" vertical="center"/>
      <protection hidden="1"/>
    </xf>
    <xf numFmtId="0" fontId="128" fillId="0" borderId="71" xfId="69" applyFont="1" applyFill="1" applyBorder="1" applyAlignment="1" applyProtection="1">
      <alignment horizontal="center" vertical="center" wrapText="1"/>
      <protection hidden="1"/>
    </xf>
    <xf numFmtId="0" fontId="151" fillId="0" borderId="72" xfId="69" applyFont="1" applyFill="1" applyBorder="1" applyAlignment="1" applyProtection="1">
      <alignment horizontal="center" wrapText="1"/>
      <protection hidden="1"/>
    </xf>
    <xf numFmtId="0" fontId="151" fillId="0" borderId="70" xfId="69" applyFont="1" applyFill="1" applyBorder="1" applyAlignment="1" applyProtection="1">
      <alignment horizontal="center" wrapText="1"/>
      <protection hidden="1"/>
    </xf>
    <xf numFmtId="0" fontId="45" fillId="0" borderId="11" xfId="69" applyFont="1" applyFill="1" applyBorder="1" applyAlignment="1" applyProtection="1">
      <alignment horizontal="center" wrapText="1"/>
      <protection hidden="1"/>
    </xf>
    <xf numFmtId="0" fontId="45" fillId="0" borderId="109" xfId="69" applyFont="1" applyFill="1" applyBorder="1" applyAlignment="1" applyProtection="1">
      <alignment horizontal="center" wrapText="1"/>
      <protection hidden="1"/>
    </xf>
    <xf numFmtId="11" fontId="45" fillId="3" borderId="11" xfId="69" applyNumberFormat="1" applyFont="1" applyFill="1" applyBorder="1" applyAlignment="1" applyProtection="1">
      <alignment horizontal="center" wrapText="1"/>
      <protection hidden="1"/>
    </xf>
    <xf numFmtId="11" fontId="45" fillId="3" borderId="109" xfId="69" applyNumberFormat="1" applyFont="1" applyFill="1" applyBorder="1" applyAlignment="1" applyProtection="1">
      <alignment horizontal="center" wrapText="1"/>
      <protection hidden="1"/>
    </xf>
    <xf numFmtId="0" fontId="14" fillId="0" borderId="2" xfId="46" applyFont="1" applyBorder="1" applyAlignment="1">
      <alignment horizontal="left" vertical="center" wrapText="1" indent="1"/>
    </xf>
    <xf numFmtId="0" fontId="11" fillId="0" borderId="2" xfId="46" applyFont="1" applyBorder="1" applyAlignment="1">
      <alignment horizontal="left" vertical="center" wrapText="1" indent="1"/>
    </xf>
    <xf numFmtId="0" fontId="15" fillId="0" borderId="17" xfId="69" applyFont="1" applyFill="1" applyBorder="1" applyAlignment="1" applyProtection="1">
      <alignment horizontal="center" vertical="center" wrapText="1"/>
      <protection hidden="1"/>
    </xf>
    <xf numFmtId="0" fontId="15" fillId="0" borderId="16" xfId="69" applyFont="1" applyFill="1" applyBorder="1" applyAlignment="1" applyProtection="1">
      <alignment horizontal="center" vertical="center" wrapText="1"/>
      <protection hidden="1"/>
    </xf>
    <xf numFmtId="0" fontId="15" fillId="0" borderId="18" xfId="69" applyFont="1" applyFill="1" applyBorder="1" applyAlignment="1" applyProtection="1">
      <alignment horizontal="center" vertical="center" wrapText="1"/>
      <protection hidden="1"/>
    </xf>
    <xf numFmtId="0" fontId="15" fillId="0" borderId="1" xfId="69" applyFont="1" applyFill="1" applyBorder="1" applyAlignment="1" applyProtection="1">
      <alignment horizontal="center" vertical="center" wrapText="1"/>
      <protection hidden="1"/>
    </xf>
    <xf numFmtId="0" fontId="15" fillId="0" borderId="15" xfId="69" applyFont="1" applyFill="1" applyBorder="1" applyAlignment="1" applyProtection="1">
      <alignment horizontal="center" vertical="center" wrapText="1"/>
      <protection hidden="1"/>
    </xf>
    <xf numFmtId="0" fontId="15" fillId="0" borderId="13" xfId="69" applyFont="1" applyFill="1" applyBorder="1" applyAlignment="1" applyProtection="1">
      <alignment horizontal="center" vertical="center" wrapText="1"/>
      <protection hidden="1"/>
    </xf>
    <xf numFmtId="0" fontId="45" fillId="0" borderId="12" xfId="69" applyFont="1" applyFill="1" applyBorder="1" applyAlignment="1" applyProtection="1">
      <alignment horizontal="center" wrapText="1"/>
      <protection hidden="1"/>
    </xf>
    <xf numFmtId="0" fontId="18" fillId="0" borderId="72" xfId="69" applyFont="1" applyFill="1" applyBorder="1" applyAlignment="1" applyProtection="1">
      <alignment horizontal="center" vertical="center" wrapText="1"/>
      <protection hidden="1"/>
    </xf>
    <xf numFmtId="0" fontId="18" fillId="0" borderId="69" xfId="69" applyFont="1" applyFill="1" applyBorder="1" applyAlignment="1" applyProtection="1">
      <alignment horizontal="center" vertical="center" wrapText="1"/>
      <protection hidden="1"/>
    </xf>
    <xf numFmtId="0" fontId="18" fillId="0" borderId="70" xfId="69" applyFont="1" applyFill="1" applyBorder="1" applyAlignment="1" applyProtection="1">
      <alignment horizontal="center" vertical="center" wrapText="1"/>
      <protection hidden="1"/>
    </xf>
    <xf numFmtId="0" fontId="18" fillId="0" borderId="19" xfId="69" applyFont="1" applyFill="1" applyBorder="1" applyAlignment="1" applyProtection="1">
      <alignment horizontal="center" vertical="center" wrapText="1"/>
      <protection hidden="1"/>
    </xf>
    <xf numFmtId="0" fontId="18" fillId="0" borderId="16" xfId="69" applyFont="1" applyFill="1" applyBorder="1" applyAlignment="1" applyProtection="1">
      <alignment horizontal="center" vertical="center" wrapText="1"/>
      <protection hidden="1"/>
    </xf>
    <xf numFmtId="0" fontId="11" fillId="0" borderId="72" xfId="69" applyFont="1" applyFill="1" applyBorder="1" applyAlignment="1" applyProtection="1">
      <alignment horizontal="center"/>
      <protection hidden="1"/>
    </xf>
    <xf numFmtId="0" fontId="11" fillId="0" borderId="69" xfId="69" applyFont="1" applyFill="1" applyBorder="1" applyAlignment="1" applyProtection="1">
      <alignment horizontal="center"/>
      <protection hidden="1"/>
    </xf>
    <xf numFmtId="0" fontId="11" fillId="0" borderId="70" xfId="69" applyFont="1" applyFill="1" applyBorder="1" applyAlignment="1" applyProtection="1">
      <alignment horizontal="center"/>
      <protection hidden="1"/>
    </xf>
    <xf numFmtId="0" fontId="45" fillId="3" borderId="17" xfId="69" applyFont="1" applyFill="1" applyBorder="1" applyAlignment="1" applyProtection="1">
      <alignment horizontal="center" wrapText="1"/>
      <protection hidden="1"/>
    </xf>
    <xf numFmtId="0" fontId="45" fillId="3" borderId="16" xfId="69" applyFont="1" applyFill="1" applyBorder="1" applyAlignment="1" applyProtection="1">
      <alignment horizontal="center" wrapText="1"/>
      <protection hidden="1"/>
    </xf>
    <xf numFmtId="0" fontId="45" fillId="3" borderId="15" xfId="69" applyFont="1" applyFill="1" applyBorder="1" applyAlignment="1" applyProtection="1">
      <alignment horizontal="center" wrapText="1"/>
      <protection hidden="1"/>
    </xf>
    <xf numFmtId="0" fontId="45" fillId="3" borderId="13" xfId="69" applyFont="1" applyFill="1" applyBorder="1" applyAlignment="1" applyProtection="1">
      <alignment horizontal="center" wrapText="1"/>
      <protection hidden="1"/>
    </xf>
    <xf numFmtId="0" fontId="45" fillId="3" borderId="19" xfId="69" applyFont="1" applyFill="1" applyBorder="1" applyAlignment="1" applyProtection="1">
      <alignment horizontal="center" wrapText="1"/>
      <protection hidden="1"/>
    </xf>
    <xf numFmtId="0" fontId="45" fillId="3" borderId="2" xfId="69" applyFont="1" applyFill="1" applyBorder="1" applyAlignment="1" applyProtection="1">
      <alignment horizontal="center" wrapText="1"/>
      <protection hidden="1"/>
    </xf>
    <xf numFmtId="0" fontId="35" fillId="3" borderId="7" xfId="46" applyFont="1" applyFill="1" applyBorder="1" applyAlignment="1">
      <alignment horizontal="left" vertical="center" wrapText="1" indent="1"/>
    </xf>
    <xf numFmtId="0" fontId="35" fillId="3" borderId="6" xfId="46" applyFont="1" applyFill="1" applyBorder="1" applyAlignment="1">
      <alignment horizontal="left" vertical="center" wrapText="1" indent="1"/>
    </xf>
    <xf numFmtId="0" fontId="15" fillId="0" borderId="5" xfId="69" applyFont="1" applyFill="1" applyBorder="1" applyAlignment="1" applyProtection="1">
      <alignment horizontal="center" vertical="center" wrapText="1"/>
      <protection hidden="1"/>
    </xf>
    <xf numFmtId="0" fontId="16" fillId="6" borderId="135" xfId="46" applyFont="1" applyFill="1" applyBorder="1" applyAlignment="1">
      <alignment horizontal="left" vertical="center" wrapText="1" indent="1"/>
    </xf>
    <xf numFmtId="0" fontId="16" fillId="0" borderId="135" xfId="46" applyFont="1" applyFill="1" applyBorder="1" applyAlignment="1">
      <alignment horizontal="left" vertical="center" wrapText="1" indent="1"/>
    </xf>
    <xf numFmtId="0" fontId="14" fillId="0" borderId="0" xfId="46" applyFont="1" applyBorder="1" applyAlignment="1">
      <alignment horizontal="left" vertical="top" wrapText="1"/>
    </xf>
    <xf numFmtId="0" fontId="14" fillId="0" borderId="71" xfId="46" applyFont="1" applyBorder="1" applyAlignment="1">
      <alignment horizontal="center" vertical="center" textRotation="90" wrapText="1"/>
    </xf>
    <xf numFmtId="0" fontId="14" fillId="0" borderId="135" xfId="46" applyFont="1" applyBorder="1" applyAlignment="1">
      <alignment horizontal="center" vertical="center" textRotation="90" wrapText="1"/>
    </xf>
    <xf numFmtId="0" fontId="14" fillId="0" borderId="0" xfId="46" applyFont="1" applyBorder="1" applyAlignment="1">
      <alignment horizontal="left" vertical="center" wrapText="1"/>
    </xf>
    <xf numFmtId="0" fontId="15" fillId="0" borderId="71" xfId="69" applyFont="1" applyFill="1" applyBorder="1" applyAlignment="1" applyProtection="1">
      <alignment horizontal="center" vertical="center"/>
      <protection hidden="1"/>
    </xf>
    <xf numFmtId="0" fontId="18" fillId="0" borderId="71" xfId="69" applyFont="1" applyFill="1" applyBorder="1" applyAlignment="1" applyProtection="1">
      <alignment horizontal="center" vertical="center"/>
      <protection hidden="1"/>
    </xf>
    <xf numFmtId="0" fontId="18" fillId="0" borderId="71" xfId="69" applyFont="1" applyFill="1" applyBorder="1" applyAlignment="1" applyProtection="1">
      <alignment horizontal="center" vertical="center" wrapText="1"/>
      <protection hidden="1"/>
    </xf>
    <xf numFmtId="0" fontId="18" fillId="0" borderId="136" xfId="69" applyFont="1" applyFill="1" applyBorder="1" applyAlignment="1" applyProtection="1">
      <alignment horizontal="center" vertical="center" wrapText="1"/>
      <protection hidden="1"/>
    </xf>
    <xf numFmtId="0" fontId="18" fillId="0" borderId="109" xfId="69" applyFont="1" applyFill="1" applyBorder="1" applyAlignment="1" applyProtection="1">
      <alignment horizontal="center" vertical="center" wrapText="1"/>
      <protection hidden="1"/>
    </xf>
    <xf numFmtId="0" fontId="18" fillId="0" borderId="131" xfId="69" applyFont="1" applyFill="1" applyBorder="1" applyAlignment="1" applyProtection="1">
      <alignment horizontal="center" vertical="center" wrapText="1"/>
      <protection hidden="1"/>
    </xf>
    <xf numFmtId="0" fontId="18" fillId="0" borderId="15" xfId="69" applyFont="1" applyFill="1" applyBorder="1" applyAlignment="1" applyProtection="1">
      <alignment horizontal="center" vertical="center" wrapText="1"/>
      <protection hidden="1"/>
    </xf>
    <xf numFmtId="0" fontId="18" fillId="0" borderId="2" xfId="69" applyFont="1" applyFill="1" applyBorder="1" applyAlignment="1" applyProtection="1">
      <alignment horizontal="center" vertical="center" wrapText="1"/>
      <protection hidden="1"/>
    </xf>
    <xf numFmtId="0" fontId="45" fillId="0" borderId="72" xfId="69" applyFont="1" applyFill="1" applyBorder="1" applyAlignment="1" applyProtection="1">
      <alignment horizontal="center" wrapText="1"/>
      <protection hidden="1"/>
    </xf>
    <xf numFmtId="0" fontId="45" fillId="0" borderId="69" xfId="69" applyFont="1" applyFill="1" applyBorder="1" applyAlignment="1" applyProtection="1">
      <alignment horizontal="center" wrapText="1"/>
      <protection hidden="1"/>
    </xf>
    <xf numFmtId="0" fontId="45" fillId="0" borderId="70" xfId="69" applyFont="1" applyFill="1" applyBorder="1" applyAlignment="1" applyProtection="1">
      <alignment horizontal="center" wrapText="1"/>
      <protection hidden="1"/>
    </xf>
    <xf numFmtId="0" fontId="45" fillId="3" borderId="133" xfId="69" applyFont="1" applyFill="1" applyBorder="1" applyAlignment="1" applyProtection="1">
      <alignment horizontal="center" wrapText="1"/>
      <protection hidden="1"/>
    </xf>
    <xf numFmtId="0" fontId="45" fillId="3" borderId="137" xfId="69" applyFont="1" applyFill="1" applyBorder="1" applyAlignment="1" applyProtection="1">
      <alignment horizontal="center" wrapText="1"/>
      <protection hidden="1"/>
    </xf>
    <xf numFmtId="41" fontId="59" fillId="0" borderId="7" xfId="69" applyNumberFormat="1" applyFont="1" applyFill="1" applyBorder="1" applyAlignment="1">
      <alignment horizontal="center" vertical="center" wrapText="1"/>
    </xf>
    <xf numFmtId="41" fontId="59" fillId="0" borderId="6" xfId="69" applyNumberFormat="1" applyFont="1" applyFill="1" applyBorder="1" applyAlignment="1">
      <alignment horizontal="center" vertical="center" wrapText="1"/>
    </xf>
    <xf numFmtId="41" fontId="59" fillId="6" borderId="133" xfId="69" applyNumberFormat="1" applyFont="1" applyFill="1" applyBorder="1" applyAlignment="1">
      <alignment horizontal="center" vertical="center" wrapText="1"/>
    </xf>
    <xf numFmtId="41" fontId="59" fillId="6" borderId="137" xfId="69" applyNumberFormat="1" applyFont="1" applyFill="1" applyBorder="1" applyAlignment="1">
      <alignment horizontal="center" vertical="center" wrapText="1"/>
    </xf>
    <xf numFmtId="41" fontId="59" fillId="6" borderId="103" xfId="69" applyNumberFormat="1" applyFont="1" applyFill="1" applyBorder="1" applyAlignment="1">
      <alignment horizontal="center" vertical="center" wrapText="1"/>
    </xf>
    <xf numFmtId="41" fontId="59" fillId="6" borderId="134" xfId="69" applyNumberFormat="1" applyFont="1" applyFill="1" applyBorder="1" applyAlignment="1">
      <alignment horizontal="center" vertical="center" wrapText="1"/>
    </xf>
    <xf numFmtId="41" fontId="59" fillId="0" borderId="0" xfId="69" applyNumberFormat="1" applyFont="1" applyFill="1" applyBorder="1" applyAlignment="1">
      <alignment horizontal="center" vertical="center" wrapText="1"/>
    </xf>
    <xf numFmtId="41" fontId="59" fillId="0" borderId="15" xfId="69" applyNumberFormat="1" applyFont="1" applyFill="1" applyBorder="1" applyAlignment="1">
      <alignment horizontal="center" vertical="center" wrapText="1"/>
    </xf>
    <xf numFmtId="41" fontId="59" fillId="0" borderId="2" xfId="69" applyNumberFormat="1" applyFont="1" applyFill="1" applyBorder="1" applyAlignment="1">
      <alignment horizontal="center" vertical="center" wrapText="1"/>
    </xf>
    <xf numFmtId="41" fontId="59" fillId="0" borderId="13" xfId="69" applyNumberFormat="1" applyFont="1" applyFill="1" applyBorder="1" applyAlignment="1">
      <alignment horizontal="center" vertical="center" wrapText="1"/>
    </xf>
    <xf numFmtId="0" fontId="18" fillId="0" borderId="103" xfId="69" applyFont="1" applyFill="1" applyBorder="1" applyAlignment="1" applyProtection="1">
      <alignment horizontal="center" vertical="center" wrapText="1"/>
      <protection hidden="1"/>
    </xf>
    <xf numFmtId="0" fontId="16" fillId="0" borderId="103" xfId="69" applyNumberFormat="1" applyFont="1" applyFill="1" applyBorder="1" applyAlignment="1" applyProtection="1">
      <alignment horizontal="center" vertical="center" wrapText="1"/>
      <protection hidden="1"/>
    </xf>
    <xf numFmtId="0" fontId="16" fillId="0" borderId="133" xfId="69" applyFont="1" applyFill="1" applyBorder="1" applyAlignment="1" applyProtection="1">
      <alignment horizontal="center" vertical="center" wrapText="1"/>
      <protection hidden="1"/>
    </xf>
    <xf numFmtId="0" fontId="16" fillId="0" borderId="137" xfId="69" applyFont="1" applyFill="1" applyBorder="1" applyAlignment="1" applyProtection="1">
      <alignment horizontal="center" vertical="center" wrapText="1"/>
      <protection hidden="1"/>
    </xf>
    <xf numFmtId="0" fontId="45" fillId="3" borderId="104" xfId="69" applyFont="1" applyFill="1" applyBorder="1" applyAlignment="1" applyProtection="1">
      <alignment horizontal="center" wrapText="1"/>
      <protection hidden="1"/>
    </xf>
    <xf numFmtId="0" fontId="45" fillId="3" borderId="69" xfId="69" applyFont="1" applyFill="1" applyBorder="1" applyAlignment="1" applyProtection="1">
      <alignment horizontal="center" wrapText="1"/>
      <protection hidden="1"/>
    </xf>
    <xf numFmtId="0" fontId="45" fillId="3" borderId="108" xfId="69" applyFont="1" applyFill="1" applyBorder="1" applyAlignment="1" applyProtection="1">
      <alignment horizontal="center" wrapText="1"/>
      <protection hidden="1"/>
    </xf>
    <xf numFmtId="0" fontId="35" fillId="6" borderId="133" xfId="46" applyFont="1" applyFill="1" applyBorder="1" applyAlignment="1">
      <alignment horizontal="left" vertical="center" wrapText="1" indent="1"/>
    </xf>
    <xf numFmtId="0" fontId="35" fillId="6" borderId="134" xfId="46" applyFont="1" applyFill="1" applyBorder="1" applyAlignment="1">
      <alignment horizontal="left" vertical="center" wrapText="1" indent="1"/>
    </xf>
    <xf numFmtId="0" fontId="11" fillId="0" borderId="0" xfId="46" applyFont="1" applyBorder="1" applyAlignment="1">
      <alignment horizontal="left" vertical="center" wrapText="1"/>
    </xf>
    <xf numFmtId="0" fontId="18" fillId="0" borderId="133" xfId="69" applyFont="1" applyFill="1" applyBorder="1" applyAlignment="1" applyProtection="1">
      <alignment horizontal="center" vertical="center" wrapText="1"/>
      <protection hidden="1"/>
    </xf>
    <xf numFmtId="0" fontId="18" fillId="0" borderId="137" xfId="69" applyFont="1" applyFill="1" applyBorder="1" applyAlignment="1" applyProtection="1">
      <alignment horizontal="center" vertical="center" wrapText="1"/>
      <protection hidden="1"/>
    </xf>
    <xf numFmtId="0" fontId="15" fillId="0" borderId="135" xfId="69" applyFont="1" applyFill="1" applyBorder="1" applyAlignment="1" applyProtection="1">
      <alignment horizontal="center" vertical="center"/>
      <protection hidden="1"/>
    </xf>
    <xf numFmtId="0" fontId="15" fillId="0" borderId="133" xfId="69" applyFont="1" applyFill="1" applyBorder="1" applyAlignment="1" applyProtection="1">
      <alignment horizontal="center" vertical="center"/>
      <protection hidden="1"/>
    </xf>
    <xf numFmtId="0" fontId="15" fillId="0" borderId="103" xfId="69" applyFont="1" applyFill="1" applyBorder="1" applyAlignment="1" applyProtection="1">
      <alignment horizontal="center" vertical="center"/>
      <protection hidden="1"/>
    </xf>
    <xf numFmtId="0" fontId="15" fillId="0" borderId="72" xfId="69" applyFont="1" applyFill="1" applyBorder="1" applyAlignment="1" applyProtection="1">
      <alignment horizontal="center" vertical="center"/>
      <protection hidden="1"/>
    </xf>
    <xf numFmtId="0" fontId="15" fillId="0" borderId="69" xfId="69" applyFont="1" applyFill="1" applyBorder="1" applyAlignment="1" applyProtection="1">
      <alignment horizontal="center" vertical="center"/>
      <protection hidden="1"/>
    </xf>
    <xf numFmtId="0" fontId="15" fillId="0" borderId="70" xfId="69" applyFont="1" applyFill="1" applyBorder="1" applyAlignment="1" applyProtection="1">
      <alignment horizontal="center" vertical="center"/>
      <protection hidden="1"/>
    </xf>
    <xf numFmtId="0" fontId="18" fillId="0" borderId="72" xfId="69" applyFont="1" applyFill="1" applyBorder="1" applyAlignment="1" applyProtection="1">
      <alignment horizontal="center" vertical="center"/>
      <protection hidden="1"/>
    </xf>
    <xf numFmtId="0" fontId="18" fillId="0" borderId="69" xfId="69" applyFont="1" applyFill="1" applyBorder="1" applyAlignment="1" applyProtection="1">
      <alignment horizontal="center" vertical="center"/>
      <protection hidden="1"/>
    </xf>
    <xf numFmtId="0" fontId="18" fillId="0" borderId="70" xfId="69" applyFont="1" applyFill="1" applyBorder="1" applyAlignment="1" applyProtection="1">
      <alignment horizontal="center" vertical="center"/>
      <protection hidden="1"/>
    </xf>
    <xf numFmtId="0" fontId="11" fillId="0" borderId="133" xfId="69" applyFont="1" applyFill="1" applyBorder="1" applyAlignment="1" applyProtection="1">
      <alignment horizontal="center"/>
      <protection hidden="1"/>
    </xf>
    <xf numFmtId="0" fontId="11" fillId="0" borderId="137" xfId="69" applyFont="1" applyFill="1" applyBorder="1" applyAlignment="1" applyProtection="1">
      <alignment horizontal="center"/>
      <protection hidden="1"/>
    </xf>
    <xf numFmtId="0" fontId="11" fillId="0" borderId="134" xfId="69" applyFont="1" applyFill="1" applyBorder="1" applyAlignment="1" applyProtection="1">
      <alignment horizontal="center"/>
      <protection hidden="1"/>
    </xf>
    <xf numFmtId="0" fontId="18" fillId="0" borderId="17" xfId="69" applyFont="1" applyFill="1" applyBorder="1" applyAlignment="1" applyProtection="1">
      <alignment horizontal="center" vertical="center"/>
      <protection hidden="1"/>
    </xf>
    <xf numFmtId="0" fontId="18" fillId="0" borderId="18" xfId="69" applyFont="1" applyFill="1" applyBorder="1" applyAlignment="1" applyProtection="1">
      <alignment horizontal="center" vertical="center"/>
      <protection hidden="1"/>
    </xf>
    <xf numFmtId="0" fontId="151" fillId="0" borderId="133" xfId="69" applyFont="1" applyFill="1" applyBorder="1" applyAlignment="1" applyProtection="1">
      <alignment horizontal="center" wrapText="1"/>
      <protection hidden="1"/>
    </xf>
    <xf numFmtId="0" fontId="151" fillId="0" borderId="134" xfId="69" applyFont="1" applyFill="1" applyBorder="1" applyAlignment="1" applyProtection="1">
      <alignment horizontal="center" wrapText="1"/>
      <protection hidden="1"/>
    </xf>
    <xf numFmtId="0" fontId="18" fillId="0" borderId="11" xfId="69" applyFont="1" applyBorder="1" applyAlignment="1" applyProtection="1">
      <alignment horizontal="center" vertical="center" wrapText="1"/>
      <protection hidden="1"/>
    </xf>
    <xf numFmtId="0" fontId="18" fillId="0" borderId="109" xfId="69" applyFont="1" applyBorder="1" applyAlignment="1" applyProtection="1">
      <alignment horizontal="center" vertical="center" wrapText="1"/>
      <protection hidden="1"/>
    </xf>
    <xf numFmtId="0" fontId="11" fillId="0" borderId="44" xfId="0" applyFont="1" applyBorder="1" applyAlignment="1">
      <alignment horizontal="center" vertical="center" wrapText="1"/>
    </xf>
    <xf numFmtId="0" fontId="43" fillId="0" borderId="2" xfId="46" applyFont="1" applyBorder="1" applyAlignment="1">
      <alignment horizontal="left" vertical="top" wrapText="1" indent="1"/>
    </xf>
    <xf numFmtId="0" fontId="18" fillId="6" borderId="72" xfId="46" applyFont="1" applyFill="1" applyBorder="1" applyAlignment="1">
      <alignment horizontal="center" vertical="center" wrapText="1"/>
    </xf>
    <xf numFmtId="0" fontId="18" fillId="6" borderId="69" xfId="46" applyFont="1" applyFill="1" applyBorder="1" applyAlignment="1">
      <alignment horizontal="center" vertical="center" wrapText="1"/>
    </xf>
    <xf numFmtId="0" fontId="18" fillId="6" borderId="70" xfId="46" applyFont="1" applyFill="1" applyBorder="1" applyAlignment="1">
      <alignment horizontal="center" vertical="center" wrapText="1"/>
    </xf>
    <xf numFmtId="0" fontId="15" fillId="0" borderId="133" xfId="72" applyFont="1" applyFill="1" applyBorder="1" applyAlignment="1" applyProtection="1">
      <alignment horizontal="center" vertical="center" wrapText="1"/>
      <protection hidden="1"/>
    </xf>
    <xf numFmtId="0" fontId="15" fillId="0" borderId="71" xfId="72" applyFont="1" applyFill="1" applyBorder="1" applyAlignment="1" applyProtection="1">
      <alignment horizontal="center" vertical="center" wrapText="1"/>
      <protection hidden="1"/>
    </xf>
    <xf numFmtId="0" fontId="18" fillId="0" borderId="72" xfId="46" applyFont="1" applyFill="1" applyBorder="1" applyAlignment="1">
      <alignment horizontal="center" vertical="center" wrapText="1"/>
    </xf>
    <xf numFmtId="0" fontId="18" fillId="0" borderId="69" xfId="46" applyFont="1" applyFill="1" applyBorder="1" applyAlignment="1">
      <alignment horizontal="center" vertical="center" wrapText="1"/>
    </xf>
    <xf numFmtId="0" fontId="18" fillId="0" borderId="70" xfId="46" applyFont="1" applyFill="1" applyBorder="1" applyAlignment="1">
      <alignment horizontal="center" vertical="center" wrapText="1"/>
    </xf>
    <xf numFmtId="0" fontId="15" fillId="0" borderId="71" xfId="72" applyFont="1" applyFill="1" applyBorder="1" applyAlignment="1" applyProtection="1">
      <alignment horizontal="center" vertical="center"/>
      <protection hidden="1"/>
    </xf>
    <xf numFmtId="0" fontId="16" fillId="0" borderId="0" xfId="17" applyFont="1" applyBorder="1" applyAlignment="1">
      <alignment horizontal="left" vertical="center" wrapText="1"/>
    </xf>
    <xf numFmtId="0" fontId="15" fillId="0" borderId="135" xfId="72" applyFont="1" applyFill="1" applyBorder="1" applyAlignment="1" applyProtection="1">
      <alignment horizontal="center" vertical="center"/>
      <protection hidden="1"/>
    </xf>
    <xf numFmtId="0" fontId="17" fillId="6" borderId="15" xfId="46" applyFont="1" applyFill="1" applyBorder="1" applyAlignment="1">
      <alignment horizontal="center" vertical="center" wrapText="1"/>
    </xf>
    <xf numFmtId="0" fontId="17" fillId="6" borderId="2" xfId="46" applyFont="1" applyFill="1" applyBorder="1" applyAlignment="1">
      <alignment horizontal="center" vertical="center" wrapText="1"/>
    </xf>
    <xf numFmtId="0" fontId="17" fillId="6" borderId="13" xfId="46" applyFont="1" applyFill="1" applyBorder="1" applyAlignment="1">
      <alignment horizontal="center" vertical="center" wrapText="1"/>
    </xf>
    <xf numFmtId="0" fontId="17" fillId="0" borderId="72" xfId="46" applyFont="1" applyFill="1" applyBorder="1" applyAlignment="1">
      <alignment horizontal="center" vertical="center" wrapText="1"/>
    </xf>
    <xf numFmtId="0" fontId="17" fillId="0" borderId="69" xfId="46" applyFont="1" applyFill="1" applyBorder="1" applyAlignment="1">
      <alignment horizontal="center" vertical="center" wrapText="1"/>
    </xf>
    <xf numFmtId="0" fontId="17" fillId="0" borderId="70" xfId="46" applyFont="1" applyFill="1" applyBorder="1" applyAlignment="1">
      <alignment horizontal="center" vertical="center" wrapText="1"/>
    </xf>
    <xf numFmtId="0" fontId="17" fillId="6" borderId="72" xfId="46" applyFont="1" applyFill="1" applyBorder="1" applyAlignment="1">
      <alignment horizontal="center" vertical="center" wrapText="1"/>
    </xf>
    <xf numFmtId="0" fontId="17" fillId="6" borderId="69" xfId="46" applyFont="1" applyFill="1" applyBorder="1" applyAlignment="1">
      <alignment horizontal="center" vertical="center" wrapText="1"/>
    </xf>
    <xf numFmtId="0" fontId="17" fillId="6" borderId="70" xfId="46" applyFont="1" applyFill="1" applyBorder="1" applyAlignment="1">
      <alignment horizontal="center" vertical="center" wrapText="1"/>
    </xf>
    <xf numFmtId="0" fontId="43" fillId="0" borderId="0" xfId="46" applyFont="1" applyFill="1" applyBorder="1" applyAlignment="1">
      <alignment horizontal="left" vertical="center"/>
    </xf>
    <xf numFmtId="0" fontId="11" fillId="0" borderId="135" xfId="0" applyFont="1" applyBorder="1" applyAlignment="1">
      <alignment horizontal="center" vertical="center" wrapText="1"/>
    </xf>
    <xf numFmtId="0" fontId="15" fillId="0" borderId="103" xfId="72" applyFont="1" applyFill="1" applyBorder="1" applyAlignment="1" applyProtection="1">
      <alignment horizontal="center" vertical="center"/>
      <protection hidden="1"/>
    </xf>
    <xf numFmtId="0" fontId="15" fillId="0" borderId="103" xfId="72" applyFont="1" applyFill="1" applyBorder="1" applyAlignment="1" applyProtection="1">
      <alignment horizontal="center" vertical="center" wrapText="1"/>
      <protection hidden="1"/>
    </xf>
    <xf numFmtId="0" fontId="11" fillId="0" borderId="103" xfId="0" applyFont="1" applyBorder="1" applyAlignment="1">
      <alignment horizontal="center" vertical="center" wrapText="1"/>
    </xf>
    <xf numFmtId="0" fontId="43" fillId="6" borderId="103" xfId="69" applyFont="1" applyFill="1" applyBorder="1" applyAlignment="1" applyProtection="1">
      <alignment horizontal="center" vertical="center" wrapText="1"/>
      <protection hidden="1"/>
    </xf>
    <xf numFmtId="0" fontId="43" fillId="0" borderId="103" xfId="69" applyFont="1" applyBorder="1" applyAlignment="1" applyProtection="1">
      <alignment horizontal="center" vertical="center" wrapText="1"/>
      <protection hidden="1"/>
    </xf>
    <xf numFmtId="0" fontId="43" fillId="0" borderId="0" xfId="46" applyFont="1" applyBorder="1" applyAlignment="1">
      <alignment horizontal="left" vertical="top" wrapText="1" indent="1"/>
    </xf>
    <xf numFmtId="0" fontId="15" fillId="0" borderId="17" xfId="72" applyFont="1" applyFill="1" applyBorder="1" applyAlignment="1" applyProtection="1">
      <alignment horizontal="center" vertical="center"/>
      <protection hidden="1"/>
    </xf>
    <xf numFmtId="0" fontId="15" fillId="0" borderId="19" xfId="72" applyFont="1" applyFill="1" applyBorder="1" applyAlignment="1" applyProtection="1">
      <alignment horizontal="center" vertical="center"/>
      <protection hidden="1"/>
    </xf>
    <xf numFmtId="0" fontId="15" fillId="0" borderId="18" xfId="72" applyFont="1" applyFill="1" applyBorder="1" applyAlignment="1" applyProtection="1">
      <alignment horizontal="center" vertical="center"/>
      <protection hidden="1"/>
    </xf>
    <xf numFmtId="0" fontId="15" fillId="0" borderId="0" xfId="72" applyFont="1" applyFill="1" applyBorder="1" applyAlignment="1" applyProtection="1">
      <alignment horizontal="center" vertical="center"/>
      <protection hidden="1"/>
    </xf>
    <xf numFmtId="0" fontId="15" fillId="0" borderId="15" xfId="72" applyFont="1" applyFill="1" applyBorder="1" applyAlignment="1" applyProtection="1">
      <alignment horizontal="center" vertical="center"/>
      <protection hidden="1"/>
    </xf>
    <xf numFmtId="0" fontId="15" fillId="0" borderId="2" xfId="72" applyFont="1" applyFill="1" applyBorder="1" applyAlignment="1" applyProtection="1">
      <alignment horizontal="center" vertical="center"/>
      <protection hidden="1"/>
    </xf>
    <xf numFmtId="49" fontId="11" fillId="0" borderId="5" xfId="72" applyNumberFormat="1" applyFont="1" applyFill="1" applyBorder="1" applyAlignment="1" applyProtection="1">
      <alignment horizontal="center" vertical="center"/>
      <protection hidden="1"/>
    </xf>
    <xf numFmtId="0" fontId="14" fillId="0" borderId="5" xfId="72" applyFont="1" applyFill="1" applyBorder="1" applyAlignment="1" applyProtection="1">
      <alignment horizontal="center" vertical="center" wrapText="1"/>
      <protection hidden="1"/>
    </xf>
    <xf numFmtId="0" fontId="14" fillId="0" borderId="71" xfId="72" applyFont="1" applyFill="1" applyBorder="1" applyAlignment="1" applyProtection="1">
      <alignment horizontal="center" vertical="center" wrapText="1"/>
      <protection hidden="1"/>
    </xf>
    <xf numFmtId="0" fontId="17" fillId="3" borderId="7" xfId="46" applyFont="1" applyFill="1" applyBorder="1" applyAlignment="1">
      <alignment horizontal="left" vertical="center" wrapText="1" indent="1"/>
    </xf>
    <xf numFmtId="0" fontId="17" fillId="3" borderId="6" xfId="46" applyFont="1" applyFill="1" applyBorder="1" applyAlignment="1">
      <alignment horizontal="left" vertical="center" wrapText="1" indent="1"/>
    </xf>
    <xf numFmtId="0" fontId="15" fillId="0" borderId="7" xfId="69" applyFont="1" applyFill="1" applyBorder="1" applyAlignment="1" applyProtection="1">
      <alignment horizontal="center" vertical="center" wrapText="1"/>
      <protection hidden="1"/>
    </xf>
    <xf numFmtId="0" fontId="15" fillId="0" borderId="6" xfId="69" applyFont="1" applyFill="1" applyBorder="1" applyAlignment="1" applyProtection="1">
      <alignment horizontal="center" vertical="center" wrapText="1"/>
      <protection hidden="1"/>
    </xf>
    <xf numFmtId="0" fontId="28" fillId="0" borderId="135" xfId="69" applyFont="1" applyFill="1" applyBorder="1" applyAlignment="1" applyProtection="1">
      <alignment horizontal="center"/>
      <protection hidden="1"/>
    </xf>
    <xf numFmtId="0" fontId="28" fillId="0" borderId="11" xfId="69" applyFont="1" applyFill="1" applyBorder="1" applyAlignment="1" applyProtection="1">
      <alignment horizontal="center"/>
      <protection hidden="1"/>
    </xf>
    <xf numFmtId="0" fontId="28" fillId="0" borderId="109" xfId="69" applyFont="1" applyFill="1" applyBorder="1" applyAlignment="1" applyProtection="1">
      <alignment horizontal="center"/>
      <protection hidden="1"/>
    </xf>
    <xf numFmtId="0" fontId="28" fillId="0" borderId="17" xfId="69" applyFont="1" applyFill="1" applyBorder="1" applyAlignment="1" applyProtection="1">
      <alignment horizontal="center"/>
      <protection hidden="1"/>
    </xf>
    <xf numFmtId="0" fontId="28" fillId="0" borderId="15" xfId="69" applyFont="1" applyFill="1" applyBorder="1" applyAlignment="1" applyProtection="1">
      <alignment horizontal="center"/>
      <protection hidden="1"/>
    </xf>
    <xf numFmtId="0" fontId="18" fillId="0" borderId="1" xfId="69" applyFont="1" applyFill="1" applyBorder="1" applyAlignment="1" applyProtection="1">
      <alignment horizontal="center" vertical="center" wrapText="1"/>
      <protection hidden="1"/>
    </xf>
    <xf numFmtId="0" fontId="18" fillId="0" borderId="13" xfId="69" applyFont="1" applyFill="1" applyBorder="1" applyAlignment="1" applyProtection="1">
      <alignment horizontal="center" vertical="center" wrapText="1"/>
      <protection hidden="1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59" fillId="6" borderId="71" xfId="69" applyNumberFormat="1" applyFont="1" applyFill="1" applyBorder="1" applyAlignment="1">
      <alignment horizontal="center" vertical="center" wrapText="1"/>
    </xf>
    <xf numFmtId="41" fontId="59" fillId="6" borderId="135" xfId="69" applyNumberFormat="1" applyFont="1" applyFill="1" applyBorder="1" applyAlignment="1">
      <alignment horizontal="center" vertical="center" wrapText="1"/>
    </xf>
    <xf numFmtId="0" fontId="18" fillId="0" borderId="135" xfId="69" applyFont="1" applyFill="1" applyBorder="1" applyAlignment="1" applyProtection="1">
      <alignment horizontal="center" vertic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0" fontId="18" fillId="0" borderId="8" xfId="69" applyFont="1" applyFill="1" applyBorder="1" applyAlignment="1" applyProtection="1">
      <alignment horizontal="center" vertical="center" wrapText="1"/>
      <protection hidden="1"/>
    </xf>
    <xf numFmtId="0" fontId="18" fillId="0" borderId="6" xfId="69" applyFont="1" applyFill="1" applyBorder="1" applyAlignment="1" applyProtection="1">
      <alignment horizontal="center" vertical="center" wrapText="1"/>
      <protection hidden="1"/>
    </xf>
    <xf numFmtId="0" fontId="28" fillId="0" borderId="12" xfId="69" applyFont="1" applyFill="1" applyBorder="1" applyAlignment="1" applyProtection="1">
      <alignment horizontal="center"/>
      <protection hidden="1"/>
    </xf>
    <xf numFmtId="0" fontId="59" fillId="0" borderId="0" xfId="6" applyFont="1" applyFill="1" applyBorder="1" applyAlignment="1">
      <alignment horizontal="left" vertical="top" wrapText="1"/>
    </xf>
    <xf numFmtId="0" fontId="59" fillId="0" borderId="0" xfId="6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6" fillId="0" borderId="0" xfId="13" applyFont="1" applyFill="1" applyAlignment="1">
      <alignment horizontal="left" vertical="center" wrapText="1"/>
    </xf>
    <xf numFmtId="0" fontId="15" fillId="0" borderId="5" xfId="58" applyFont="1" applyFill="1" applyBorder="1" applyAlignment="1" applyProtection="1">
      <alignment horizontal="center" vertical="center" wrapText="1"/>
      <protection hidden="1"/>
    </xf>
    <xf numFmtId="3" fontId="57" fillId="0" borderId="5" xfId="71" applyNumberFormat="1" applyFont="1" applyBorder="1" applyAlignment="1">
      <alignment horizontal="center" vertical="center"/>
    </xf>
    <xf numFmtId="0" fontId="31" fillId="0" borderId="17" xfId="71" applyFont="1" applyFill="1" applyBorder="1" applyAlignment="1">
      <alignment horizontal="center" vertical="center"/>
    </xf>
    <xf numFmtId="0" fontId="31" fillId="0" borderId="16" xfId="71" applyFont="1" applyFill="1" applyBorder="1" applyAlignment="1">
      <alignment horizontal="center" vertical="center"/>
    </xf>
    <xf numFmtId="0" fontId="31" fillId="0" borderId="15" xfId="71" applyFont="1" applyFill="1" applyBorder="1" applyAlignment="1">
      <alignment horizontal="center" vertical="center"/>
    </xf>
    <xf numFmtId="0" fontId="31" fillId="0" borderId="13" xfId="71" applyFont="1" applyFill="1" applyBorder="1" applyAlignment="1">
      <alignment horizontal="center" vertical="center"/>
    </xf>
    <xf numFmtId="0" fontId="31" fillId="0" borderId="7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center" vertical="center" wrapText="1"/>
    </xf>
    <xf numFmtId="0" fontId="31" fillId="0" borderId="8" xfId="71" applyFont="1" applyFill="1" applyBorder="1" applyAlignment="1">
      <alignment horizontal="center" vertical="center" wrapText="1"/>
    </xf>
    <xf numFmtId="0" fontId="5" fillId="0" borderId="5" xfId="71" applyFont="1" applyFill="1" applyBorder="1" applyAlignment="1" applyProtection="1">
      <alignment horizontal="center" vertical="center" wrapText="1"/>
      <protection hidden="1"/>
    </xf>
    <xf numFmtId="0" fontId="31" fillId="0" borderId="17" xfId="71" applyFont="1" applyFill="1" applyBorder="1" applyAlignment="1">
      <alignment horizontal="center" vertical="center" wrapText="1"/>
    </xf>
    <xf numFmtId="0" fontId="31" fillId="0" borderId="16" xfId="71" applyFont="1" applyFill="1" applyBorder="1" applyAlignment="1">
      <alignment horizontal="center" vertical="center" wrapText="1"/>
    </xf>
    <xf numFmtId="0" fontId="31" fillId="0" borderId="15" xfId="71" applyFont="1" applyFill="1" applyBorder="1" applyAlignment="1">
      <alignment horizontal="center" vertical="center" wrapText="1"/>
    </xf>
    <xf numFmtId="0" fontId="31" fillId="0" borderId="13" xfId="71" applyFont="1" applyFill="1" applyBorder="1" applyAlignment="1">
      <alignment horizontal="center" vertical="center" wrapText="1"/>
    </xf>
    <xf numFmtId="0" fontId="31" fillId="0" borderId="17" xfId="71" applyFont="1" applyFill="1" applyBorder="1" applyAlignment="1">
      <alignment horizontal="center" vertical="top" wrapText="1"/>
    </xf>
    <xf numFmtId="0" fontId="31" fillId="0" borderId="16" xfId="71" applyFont="1" applyFill="1" applyBorder="1" applyAlignment="1">
      <alignment horizontal="center" vertical="top" wrapText="1"/>
    </xf>
    <xf numFmtId="0" fontId="31" fillId="0" borderId="15" xfId="71" applyFont="1" applyFill="1" applyBorder="1" applyAlignment="1">
      <alignment horizontal="center" vertical="top" wrapText="1"/>
    </xf>
    <xf numFmtId="0" fontId="31" fillId="0" borderId="13" xfId="71" applyFont="1" applyFill="1" applyBorder="1" applyAlignment="1">
      <alignment horizontal="center" vertical="top" wrapText="1"/>
    </xf>
    <xf numFmtId="0" fontId="31" fillId="0" borderId="11" xfId="71" applyFont="1" applyFill="1" applyBorder="1" applyAlignment="1">
      <alignment horizontal="center" vertical="center" wrapText="1"/>
    </xf>
    <xf numFmtId="0" fontId="31" fillId="0" borderId="12" xfId="71" applyFont="1" applyFill="1" applyBorder="1" applyAlignment="1">
      <alignment horizontal="center" vertical="center" wrapText="1"/>
    </xf>
    <xf numFmtId="0" fontId="31" fillId="0" borderId="5" xfId="71" applyFont="1" applyFill="1" applyBorder="1" applyAlignment="1">
      <alignment horizontal="center" vertical="center" wrapText="1"/>
    </xf>
    <xf numFmtId="0" fontId="54" fillId="0" borderId="5" xfId="71" applyFont="1" applyBorder="1" applyAlignment="1" applyProtection="1">
      <alignment horizontal="center" vertical="center"/>
      <protection hidden="1"/>
    </xf>
    <xf numFmtId="0" fontId="17" fillId="3" borderId="5" xfId="46" applyFont="1" applyFill="1" applyBorder="1" applyAlignment="1">
      <alignment horizontal="left" vertical="center" wrapText="1" indent="1"/>
    </xf>
    <xf numFmtId="0" fontId="11" fillId="0" borderId="5" xfId="58" applyFont="1" applyFill="1" applyBorder="1" applyAlignment="1" applyProtection="1">
      <alignment horizontal="center" vertical="center" wrapText="1"/>
      <protection hidden="1"/>
    </xf>
    <xf numFmtId="0" fontId="17" fillId="3" borderId="0" xfId="46" applyFont="1" applyFill="1" applyBorder="1" applyAlignment="1">
      <alignment horizontal="center" vertical="center" wrapText="1"/>
    </xf>
    <xf numFmtId="0" fontId="31" fillId="0" borderId="5" xfId="71" applyFont="1" applyBorder="1" applyAlignment="1">
      <alignment horizontal="center" vertical="center" wrapText="1"/>
    </xf>
    <xf numFmtId="0" fontId="1" fillId="0" borderId="5" xfId="71" applyFont="1" applyBorder="1"/>
    <xf numFmtId="0" fontId="31" fillId="0" borderId="7" xfId="71" applyFont="1" applyFill="1" applyBorder="1" applyAlignment="1">
      <alignment horizontal="center" vertical="center"/>
    </xf>
    <xf numFmtId="0" fontId="31" fillId="0" borderId="6" xfId="71" applyFont="1" applyFill="1" applyBorder="1" applyAlignment="1">
      <alignment horizontal="center" vertical="center"/>
    </xf>
    <xf numFmtId="0" fontId="18" fillId="0" borderId="5" xfId="71" applyFont="1" applyFill="1" applyBorder="1" applyAlignment="1">
      <alignment horizontal="center" vertical="center" wrapText="1"/>
    </xf>
    <xf numFmtId="0" fontId="30" fillId="0" borderId="17" xfId="74" applyFont="1" applyFill="1" applyBorder="1" applyAlignment="1">
      <alignment horizontal="center" vertical="center" wrapText="1"/>
    </xf>
    <xf numFmtId="0" fontId="30" fillId="0" borderId="16" xfId="74" applyFont="1" applyFill="1" applyBorder="1" applyAlignment="1">
      <alignment horizontal="center" vertical="center" wrapText="1"/>
    </xf>
    <xf numFmtId="0" fontId="30" fillId="0" borderId="18" xfId="74" applyFont="1" applyFill="1" applyBorder="1" applyAlignment="1">
      <alignment horizontal="center" vertical="center" wrapText="1"/>
    </xf>
    <xf numFmtId="0" fontId="30" fillId="0" borderId="1" xfId="74" applyFont="1" applyFill="1" applyBorder="1" applyAlignment="1">
      <alignment horizontal="center" vertical="center" wrapText="1"/>
    </xf>
    <xf numFmtId="0" fontId="30" fillId="0" borderId="15" xfId="74" applyFont="1" applyFill="1" applyBorder="1" applyAlignment="1">
      <alignment horizontal="center" vertical="center" wrapText="1"/>
    </xf>
    <xf numFmtId="0" fontId="30" fillId="0" borderId="13" xfId="74" applyFont="1" applyFill="1" applyBorder="1" applyAlignment="1">
      <alignment horizontal="center" vertical="center" wrapText="1"/>
    </xf>
    <xf numFmtId="0" fontId="7" fillId="0" borderId="103" xfId="74" applyFont="1" applyBorder="1" applyAlignment="1">
      <alignment horizontal="center" wrapText="1"/>
    </xf>
    <xf numFmtId="0" fontId="1" fillId="0" borderId="103" xfId="74" applyFont="1" applyBorder="1" applyAlignment="1">
      <alignment vertical="center"/>
    </xf>
    <xf numFmtId="0" fontId="14" fillId="0" borderId="11" xfId="72" applyFont="1" applyFill="1" applyBorder="1" applyAlignment="1" applyProtection="1">
      <alignment horizontal="center" vertical="center" wrapText="1"/>
      <protection hidden="1"/>
    </xf>
    <xf numFmtId="0" fontId="14" fillId="0" borderId="14" xfId="72" applyFont="1" applyFill="1" applyBorder="1" applyAlignment="1" applyProtection="1">
      <alignment horizontal="center" vertical="center" wrapText="1"/>
      <protection hidden="1"/>
    </xf>
    <xf numFmtId="0" fontId="14" fillId="0" borderId="177" xfId="72" applyFont="1" applyFill="1" applyBorder="1" applyAlignment="1" applyProtection="1">
      <alignment horizontal="center" vertical="center" wrapText="1"/>
      <protection hidden="1"/>
    </xf>
    <xf numFmtId="0" fontId="14" fillId="0" borderId="176" xfId="72" applyFont="1" applyFill="1" applyBorder="1" applyAlignment="1" applyProtection="1">
      <alignment horizontal="center" vertical="center" wrapText="1"/>
      <protection hidden="1"/>
    </xf>
    <xf numFmtId="0" fontId="14" fillId="0" borderId="15" xfId="72" applyFont="1" applyFill="1" applyBorder="1" applyAlignment="1" applyProtection="1">
      <alignment horizontal="center" vertical="center" wrapText="1"/>
      <protection hidden="1"/>
    </xf>
    <xf numFmtId="41" fontId="59" fillId="0" borderId="71" xfId="69" applyNumberFormat="1" applyFont="1" applyFill="1" applyBorder="1" applyAlignment="1">
      <alignment horizontal="center" vertical="center" wrapText="1"/>
    </xf>
    <xf numFmtId="41" fontId="59" fillId="6" borderId="59" xfId="69" applyNumberFormat="1" applyFont="1" applyFill="1" applyBorder="1" applyAlignment="1">
      <alignment horizontal="center" vertical="center" wrapText="1"/>
    </xf>
    <xf numFmtId="0" fontId="7" fillId="0" borderId="11" xfId="74" applyFont="1" applyFill="1" applyBorder="1" applyAlignment="1">
      <alignment horizontal="center" vertical="center" wrapText="1"/>
    </xf>
    <xf numFmtId="0" fontId="7" fillId="0" borderId="109" xfId="74" applyFont="1" applyFill="1" applyBorder="1" applyAlignment="1">
      <alignment horizontal="center" vertical="center"/>
    </xf>
    <xf numFmtId="0" fontId="7" fillId="0" borderId="109" xfId="74" applyFont="1" applyFill="1" applyBorder="1" applyAlignment="1">
      <alignment horizontal="center" vertical="center" wrapText="1"/>
    </xf>
    <xf numFmtId="0" fontId="14" fillId="0" borderId="17" xfId="72" applyFont="1" applyFill="1" applyBorder="1" applyAlignment="1" applyProtection="1">
      <alignment horizontal="center" vertical="center" wrapText="1"/>
      <protection hidden="1"/>
    </xf>
    <xf numFmtId="0" fontId="14" fillId="0" borderId="18" xfId="72" applyFont="1" applyFill="1" applyBorder="1" applyAlignment="1" applyProtection="1">
      <alignment horizontal="center" vertical="center" wrapText="1"/>
      <protection hidden="1"/>
    </xf>
    <xf numFmtId="41" fontId="59" fillId="0" borderId="59" xfId="69" applyNumberFormat="1" applyFont="1" applyFill="1" applyBorder="1" applyAlignment="1">
      <alignment horizontal="center" vertical="center" wrapText="1"/>
    </xf>
    <xf numFmtId="0" fontId="17" fillId="7" borderId="133" xfId="0" applyFont="1" applyFill="1" applyBorder="1" applyAlignment="1">
      <alignment horizontal="left" vertical="center" wrapText="1"/>
    </xf>
    <xf numFmtId="167" fontId="16" fillId="0" borderId="133" xfId="0" applyNumberFormat="1" applyFont="1" applyFill="1" applyBorder="1" applyAlignment="1">
      <alignment horizontal="center" vertical="center" wrapText="1"/>
    </xf>
    <xf numFmtId="167" fontId="16" fillId="0" borderId="137" xfId="0" applyNumberFormat="1" applyFont="1" applyFill="1" applyBorder="1" applyAlignment="1">
      <alignment horizontal="center" vertical="center" wrapText="1"/>
    </xf>
    <xf numFmtId="167" fontId="16" fillId="0" borderId="134" xfId="0" applyNumberFormat="1" applyFont="1" applyFill="1" applyBorder="1" applyAlignment="1">
      <alignment horizontal="center" vertical="center" wrapText="1"/>
    </xf>
    <xf numFmtId="0" fontId="61" fillId="0" borderId="136" xfId="76" applyFont="1" applyBorder="1" applyAlignment="1">
      <alignment horizontal="center" vertical="center"/>
    </xf>
    <xf numFmtId="0" fontId="7" fillId="0" borderId="60" xfId="74" applyFont="1" applyFill="1" applyBorder="1" applyAlignment="1">
      <alignment horizontal="center" vertical="center"/>
    </xf>
    <xf numFmtId="0" fontId="7" fillId="0" borderId="69" xfId="74" applyFont="1" applyFill="1" applyBorder="1" applyAlignment="1">
      <alignment horizontal="center" vertical="center"/>
    </xf>
    <xf numFmtId="0" fontId="7" fillId="0" borderId="61" xfId="74" applyFont="1" applyFill="1" applyBorder="1" applyAlignment="1">
      <alignment horizontal="center" vertical="center"/>
    </xf>
    <xf numFmtId="0" fontId="7" fillId="0" borderId="62" xfId="74" applyFont="1" applyFill="1" applyBorder="1" applyAlignment="1">
      <alignment horizontal="center" vertical="center"/>
    </xf>
    <xf numFmtId="0" fontId="7" fillId="0" borderId="72" xfId="74" applyFont="1" applyFill="1" applyBorder="1" applyAlignment="1">
      <alignment horizontal="center" vertical="center"/>
    </xf>
    <xf numFmtId="0" fontId="7" fillId="0" borderId="70" xfId="74" applyFont="1" applyFill="1" applyBorder="1" applyAlignment="1">
      <alignment horizontal="center" vertical="center"/>
    </xf>
    <xf numFmtId="0" fontId="7" fillId="0" borderId="11" xfId="74" applyFont="1" applyFill="1" applyBorder="1" applyAlignment="1">
      <alignment horizontal="center" vertical="center"/>
    </xf>
    <xf numFmtId="0" fontId="43" fillId="0" borderId="0" xfId="6" applyFont="1" applyFill="1" applyBorder="1" applyAlignment="1">
      <alignment horizontal="left" vertical="center" wrapText="1"/>
    </xf>
    <xf numFmtId="0" fontId="54" fillId="0" borderId="0" xfId="46" applyFont="1" applyBorder="1" applyAlignment="1">
      <alignment horizontal="center" vertical="center" wrapText="1"/>
    </xf>
    <xf numFmtId="0" fontId="7" fillId="6" borderId="133" xfId="74" applyFont="1" applyFill="1" applyBorder="1" applyAlignment="1">
      <alignment horizontal="center" vertical="center"/>
    </xf>
    <xf numFmtId="0" fontId="7" fillId="6" borderId="137" xfId="74" applyFont="1" applyFill="1" applyBorder="1" applyAlignment="1">
      <alignment horizontal="center" vertical="center"/>
    </xf>
    <xf numFmtId="0" fontId="7" fillId="6" borderId="134" xfId="74" applyFont="1" applyFill="1" applyBorder="1" applyAlignment="1">
      <alignment horizontal="center" vertical="center"/>
    </xf>
    <xf numFmtId="0" fontId="8" fillId="6" borderId="135" xfId="0" applyFont="1" applyFill="1" applyBorder="1" applyAlignment="1">
      <alignment horizontal="center" vertical="center"/>
    </xf>
    <xf numFmtId="0" fontId="227" fillId="0" borderId="135" xfId="0" applyFont="1" applyBorder="1" applyAlignment="1">
      <alignment horizontal="center" vertical="center" wrapText="1"/>
    </xf>
    <xf numFmtId="0" fontId="65" fillId="0" borderId="133" xfId="74" applyFont="1" applyFill="1" applyBorder="1" applyAlignment="1">
      <alignment horizontal="left" vertical="center" wrapText="1" indent="1"/>
    </xf>
    <xf numFmtId="0" fontId="65" fillId="0" borderId="134" xfId="74" applyFont="1" applyFill="1" applyBorder="1" applyAlignment="1">
      <alignment horizontal="left" vertical="center" wrapText="1" indent="1"/>
    </xf>
    <xf numFmtId="0" fontId="65" fillId="0" borderId="135" xfId="74" applyFont="1" applyFill="1" applyBorder="1" applyAlignment="1">
      <alignment horizontal="center" vertical="center" wrapText="1"/>
    </xf>
    <xf numFmtId="0" fontId="65" fillId="3" borderId="17" xfId="74" applyFont="1" applyFill="1" applyBorder="1" applyAlignment="1">
      <alignment horizontal="left" vertical="center" wrapText="1" indent="2"/>
    </xf>
    <xf numFmtId="0" fontId="65" fillId="3" borderId="16" xfId="74" applyFont="1" applyFill="1" applyBorder="1" applyAlignment="1">
      <alignment horizontal="left" vertical="center" wrapText="1" indent="2"/>
    </xf>
    <xf numFmtId="0" fontId="65" fillId="3" borderId="15" xfId="74" applyFont="1" applyFill="1" applyBorder="1" applyAlignment="1">
      <alignment horizontal="left" vertical="center" wrapText="1" indent="2"/>
    </xf>
    <xf numFmtId="0" fontId="65" fillId="3" borderId="13" xfId="74" applyFont="1" applyFill="1" applyBorder="1" applyAlignment="1">
      <alignment horizontal="left" vertical="center" wrapText="1" indent="2"/>
    </xf>
    <xf numFmtId="0" fontId="65" fillId="0" borderId="72" xfId="74" applyFont="1" applyFill="1" applyBorder="1" applyAlignment="1">
      <alignment horizontal="center" vertical="center" wrapText="1"/>
    </xf>
    <xf numFmtId="0" fontId="65" fillId="0" borderId="69" xfId="74" applyFont="1" applyFill="1" applyBorder="1" applyAlignment="1">
      <alignment horizontal="center" vertical="center" wrapText="1"/>
    </xf>
    <xf numFmtId="0" fontId="65" fillId="0" borderId="70" xfId="74" applyFont="1" applyFill="1" applyBorder="1" applyAlignment="1">
      <alignment horizontal="center" vertical="center" wrapText="1"/>
    </xf>
    <xf numFmtId="0" fontId="65" fillId="6" borderId="72" xfId="74" applyFont="1" applyFill="1" applyBorder="1" applyAlignment="1">
      <alignment horizontal="center" vertical="center" wrapText="1"/>
    </xf>
    <xf numFmtId="0" fontId="65" fillId="6" borderId="69" xfId="74" applyFont="1" applyFill="1" applyBorder="1" applyAlignment="1">
      <alignment horizontal="center" vertical="center" wrapText="1"/>
    </xf>
    <xf numFmtId="0" fontId="65" fillId="6" borderId="70" xfId="74" applyFont="1" applyFill="1" applyBorder="1" applyAlignment="1">
      <alignment horizontal="center" vertical="center" wrapText="1"/>
    </xf>
    <xf numFmtId="0" fontId="65" fillId="6" borderId="7" xfId="74" applyFont="1" applyFill="1" applyBorder="1" applyAlignment="1">
      <alignment horizontal="left" vertical="center" wrapText="1" indent="3"/>
    </xf>
    <xf numFmtId="0" fontId="65" fillId="6" borderId="6" xfId="74" applyFont="1" applyFill="1" applyBorder="1" applyAlignment="1">
      <alignment horizontal="left" vertical="center" wrapText="1" indent="3"/>
    </xf>
    <xf numFmtId="0" fontId="65" fillId="6" borderId="72" xfId="74" applyFont="1" applyFill="1" applyBorder="1" applyAlignment="1">
      <alignment horizontal="left" vertical="center" wrapText="1" indent="2"/>
    </xf>
    <xf numFmtId="0" fontId="65" fillId="6" borderId="69" xfId="74" applyFont="1" applyFill="1" applyBorder="1" applyAlignment="1">
      <alignment horizontal="left" vertical="center" wrapText="1" indent="2"/>
    </xf>
    <xf numFmtId="0" fontId="65" fillId="6" borderId="70" xfId="74" applyFont="1" applyFill="1" applyBorder="1" applyAlignment="1">
      <alignment horizontal="left" vertical="center" wrapText="1" indent="2"/>
    </xf>
    <xf numFmtId="0" fontId="65" fillId="0" borderId="72" xfId="74" applyFont="1" applyFill="1" applyBorder="1" applyAlignment="1">
      <alignment horizontal="left" vertical="center" wrapText="1" indent="2"/>
    </xf>
    <xf numFmtId="0" fontId="65" fillId="0" borderId="69" xfId="74" applyFont="1" applyFill="1" applyBorder="1" applyAlignment="1">
      <alignment horizontal="left" vertical="center" wrapText="1" indent="2"/>
    </xf>
    <xf numFmtId="0" fontId="65" fillId="0" borderId="70" xfId="74" applyFont="1" applyFill="1" applyBorder="1" applyAlignment="1">
      <alignment horizontal="left" vertical="center" wrapText="1" indent="2"/>
    </xf>
    <xf numFmtId="0" fontId="65" fillId="0" borderId="17" xfId="74" applyFont="1" applyFill="1" applyBorder="1" applyAlignment="1">
      <alignment horizontal="left" vertical="center" wrapText="1" indent="2"/>
    </xf>
    <xf numFmtId="0" fontId="65" fillId="0" borderId="16" xfId="74" applyFont="1" applyFill="1" applyBorder="1" applyAlignment="1">
      <alignment horizontal="left" vertical="center" wrapText="1" indent="2"/>
    </xf>
    <xf numFmtId="0" fontId="65" fillId="0" borderId="18" xfId="74" applyFont="1" applyFill="1" applyBorder="1" applyAlignment="1">
      <alignment horizontal="left" vertical="center" wrapText="1" indent="2"/>
    </xf>
    <xf numFmtId="0" fontId="65" fillId="0" borderId="1" xfId="74" applyFont="1" applyFill="1" applyBorder="1" applyAlignment="1">
      <alignment horizontal="left" vertical="center" wrapText="1" indent="2"/>
    </xf>
    <xf numFmtId="0" fontId="65" fillId="0" borderId="15" xfId="74" applyFont="1" applyFill="1" applyBorder="1" applyAlignment="1">
      <alignment horizontal="left" vertical="center" wrapText="1" indent="2"/>
    </xf>
    <xf numFmtId="0" fontId="65" fillId="0" borderId="13" xfId="74" applyFont="1" applyFill="1" applyBorder="1" applyAlignment="1">
      <alignment horizontal="left" vertical="center" wrapText="1" indent="2"/>
    </xf>
    <xf numFmtId="0" fontId="65" fillId="6" borderId="18" xfId="74" applyFont="1" applyFill="1" applyBorder="1" applyAlignment="1">
      <alignment horizontal="left" vertical="center" wrapText="1"/>
    </xf>
    <xf numFmtId="0" fontId="65" fillId="6" borderId="1" xfId="74" applyFont="1" applyFill="1" applyBorder="1" applyAlignment="1">
      <alignment horizontal="left" vertical="center" wrapText="1"/>
    </xf>
    <xf numFmtId="0" fontId="65" fillId="6" borderId="15" xfId="74" applyFont="1" applyFill="1" applyBorder="1" applyAlignment="1">
      <alignment horizontal="left" vertical="center" wrapText="1"/>
    </xf>
    <xf numFmtId="0" fontId="65" fillId="6" borderId="13" xfId="74" applyFont="1" applyFill="1" applyBorder="1" applyAlignment="1">
      <alignment horizontal="left" vertical="center" wrapText="1"/>
    </xf>
    <xf numFmtId="0" fontId="7" fillId="6" borderId="72" xfId="74" applyFont="1" applyFill="1" applyBorder="1" applyAlignment="1">
      <alignment horizontal="center" vertical="center"/>
    </xf>
    <xf numFmtId="0" fontId="7" fillId="6" borderId="69" xfId="74" applyFont="1" applyFill="1" applyBorder="1" applyAlignment="1">
      <alignment horizontal="center" vertical="center"/>
    </xf>
    <xf numFmtId="0" fontId="7" fillId="6" borderId="70" xfId="74" applyFont="1" applyFill="1" applyBorder="1" applyAlignment="1">
      <alignment horizontal="center" vertical="center"/>
    </xf>
    <xf numFmtId="0" fontId="20" fillId="0" borderId="72" xfId="74" applyFont="1" applyFill="1" applyBorder="1" applyAlignment="1">
      <alignment horizontal="center" vertical="center" wrapText="1"/>
    </xf>
    <xf numFmtId="0" fontId="20" fillId="0" borderId="69" xfId="74" applyFont="1" applyFill="1" applyBorder="1" applyAlignment="1">
      <alignment horizontal="center" vertical="center" wrapText="1"/>
    </xf>
    <xf numFmtId="0" fontId="20" fillId="0" borderId="70" xfId="74" applyFont="1" applyFill="1" applyBorder="1" applyAlignment="1">
      <alignment horizontal="center" vertical="center" wrapText="1"/>
    </xf>
    <xf numFmtId="9" fontId="20" fillId="0" borderId="72" xfId="74" applyNumberFormat="1" applyFont="1" applyFill="1" applyBorder="1" applyAlignment="1">
      <alignment horizontal="center" vertical="center" wrapText="1"/>
    </xf>
    <xf numFmtId="9" fontId="65" fillId="0" borderId="72" xfId="74" applyNumberFormat="1" applyFont="1" applyFill="1" applyBorder="1" applyAlignment="1">
      <alignment horizontal="center" vertical="center" wrapText="1"/>
    </xf>
    <xf numFmtId="0" fontId="20" fillId="6" borderId="72" xfId="74" applyFont="1" applyFill="1" applyBorder="1" applyAlignment="1">
      <alignment horizontal="center" vertical="center" wrapText="1"/>
    </xf>
    <xf numFmtId="0" fontId="20" fillId="6" borderId="69" xfId="74" applyFont="1" applyFill="1" applyBorder="1" applyAlignment="1">
      <alignment horizontal="center" vertical="center" wrapText="1"/>
    </xf>
    <xf numFmtId="0" fontId="20" fillId="6" borderId="70" xfId="74" applyFont="1" applyFill="1" applyBorder="1" applyAlignment="1">
      <alignment horizontal="center" vertical="center" wrapText="1"/>
    </xf>
    <xf numFmtId="9" fontId="20" fillId="6" borderId="72" xfId="74" applyNumberFormat="1" applyFont="1" applyFill="1" applyBorder="1" applyAlignment="1">
      <alignment horizontal="center" vertical="center" wrapText="1"/>
    </xf>
    <xf numFmtId="0" fontId="65" fillId="0" borderId="7" xfId="74" applyFont="1" applyFill="1" applyBorder="1" applyAlignment="1">
      <alignment horizontal="left" vertical="center" wrapText="1" indent="3"/>
    </xf>
    <xf numFmtId="0" fontId="65" fillId="0" borderId="6" xfId="74" applyFont="1" applyFill="1" applyBorder="1" applyAlignment="1">
      <alignment horizontal="left" vertical="center" wrapText="1" indent="3"/>
    </xf>
    <xf numFmtId="0" fontId="8" fillId="6" borderId="72" xfId="0" applyFont="1" applyFill="1" applyBorder="1" applyAlignment="1">
      <alignment horizontal="center" vertical="center"/>
    </xf>
    <xf numFmtId="0" fontId="8" fillId="6" borderId="69" xfId="0" applyFont="1" applyFill="1" applyBorder="1" applyAlignment="1">
      <alignment horizontal="center" vertical="center"/>
    </xf>
    <xf numFmtId="0" fontId="8" fillId="6" borderId="70" xfId="0" applyFont="1" applyFill="1" applyBorder="1" applyAlignment="1">
      <alignment horizontal="center" vertical="center"/>
    </xf>
    <xf numFmtId="0" fontId="15" fillId="0" borderId="113" xfId="46" applyFont="1" applyBorder="1" applyAlignment="1">
      <alignment horizontal="left" wrapText="1"/>
    </xf>
    <xf numFmtId="0" fontId="30" fillId="0" borderId="0" xfId="46" applyFont="1" applyAlignment="1">
      <alignment horizontal="right" wrapText="1"/>
    </xf>
    <xf numFmtId="0" fontId="15" fillId="0" borderId="0" xfId="46" applyFont="1" applyAlignment="1">
      <alignment horizontal="right"/>
    </xf>
    <xf numFmtId="0" fontId="31" fillId="0" borderId="0" xfId="46" applyFont="1" applyAlignment="1">
      <alignment horizontal="left"/>
    </xf>
    <xf numFmtId="0" fontId="43" fillId="0" borderId="133" xfId="46" applyFont="1" applyBorder="1" applyAlignment="1">
      <alignment horizontal="center" vertical="center"/>
    </xf>
    <xf numFmtId="0" fontId="43" fillId="0" borderId="137" xfId="46" applyFont="1" applyBorder="1" applyAlignment="1">
      <alignment horizontal="center" vertical="center"/>
    </xf>
    <xf numFmtId="0" fontId="43" fillId="0" borderId="134" xfId="46" applyFont="1" applyBorder="1" applyAlignment="1">
      <alignment horizontal="center" vertical="center"/>
    </xf>
    <xf numFmtId="0" fontId="65" fillId="0" borderId="133" xfId="74" applyFont="1" applyFill="1" applyBorder="1" applyAlignment="1">
      <alignment horizontal="left" vertical="center" wrapText="1"/>
    </xf>
    <xf numFmtId="0" fontId="65" fillId="0" borderId="137" xfId="74" applyFont="1" applyFill="1" applyBorder="1" applyAlignment="1">
      <alignment horizontal="left" vertical="center" wrapText="1"/>
    </xf>
    <xf numFmtId="0" fontId="65" fillId="0" borderId="134" xfId="74" applyFont="1" applyFill="1" applyBorder="1" applyAlignment="1">
      <alignment horizontal="left" vertical="center" wrapText="1"/>
    </xf>
    <xf numFmtId="9" fontId="65" fillId="6" borderId="133" xfId="74" applyNumberFormat="1" applyFont="1" applyFill="1" applyBorder="1" applyAlignment="1">
      <alignment horizontal="left" vertical="center" wrapText="1"/>
    </xf>
    <xf numFmtId="9" fontId="65" fillId="6" borderId="137" xfId="74" applyNumberFormat="1" applyFont="1" applyFill="1" applyBorder="1" applyAlignment="1">
      <alignment horizontal="left" vertical="center" wrapText="1"/>
    </xf>
    <xf numFmtId="9" fontId="65" fillId="6" borderId="134" xfId="74" applyNumberFormat="1" applyFont="1" applyFill="1" applyBorder="1" applyAlignment="1">
      <alignment horizontal="left" vertical="center" wrapText="1"/>
    </xf>
    <xf numFmtId="9" fontId="20" fillId="6" borderId="137" xfId="74" applyNumberFormat="1" applyFont="1" applyFill="1" applyBorder="1" applyAlignment="1">
      <alignment horizontal="center" vertical="center" wrapText="1"/>
    </xf>
    <xf numFmtId="9" fontId="20" fillId="6" borderId="134" xfId="74" applyNumberFormat="1" applyFont="1" applyFill="1" applyBorder="1" applyAlignment="1">
      <alignment horizontal="center" vertical="center" wrapText="1"/>
    </xf>
    <xf numFmtId="0" fontId="20" fillId="0" borderId="137" xfId="0" applyFont="1" applyBorder="1" applyAlignment="1">
      <alignment horizontal="center" vertical="center"/>
    </xf>
    <xf numFmtId="0" fontId="20" fillId="0" borderId="134" xfId="0" applyFont="1" applyBorder="1" applyAlignment="1">
      <alignment horizontal="center" vertical="center"/>
    </xf>
    <xf numFmtId="0" fontId="147" fillId="0" borderId="135" xfId="46" applyFont="1" applyFill="1" applyBorder="1" applyAlignment="1">
      <alignment horizontal="center" vertical="center" wrapText="1"/>
    </xf>
    <xf numFmtId="0" fontId="59" fillId="6" borderId="122" xfId="46" applyFont="1" applyFill="1" applyBorder="1" applyAlignment="1">
      <alignment horizontal="center" vertical="center" wrapText="1"/>
    </xf>
    <xf numFmtId="0" fontId="59" fillId="6" borderId="148" xfId="46" applyFont="1" applyFill="1" applyBorder="1" applyAlignment="1">
      <alignment horizontal="center" vertical="center" wrapText="1"/>
    </xf>
    <xf numFmtId="0" fontId="59" fillId="6" borderId="149" xfId="46" applyFont="1" applyFill="1" applyBorder="1" applyAlignment="1">
      <alignment horizontal="center" vertical="center" wrapText="1"/>
    </xf>
    <xf numFmtId="0" fontId="59" fillId="3" borderId="39" xfId="46" applyFont="1" applyFill="1" applyBorder="1" applyAlignment="1">
      <alignment horizontal="center" vertical="center" wrapText="1"/>
    </xf>
    <xf numFmtId="0" fontId="59" fillId="3" borderId="42" xfId="46" applyFont="1" applyFill="1" applyBorder="1" applyAlignment="1">
      <alignment horizontal="center" vertical="center" wrapText="1"/>
    </xf>
    <xf numFmtId="0" fontId="59" fillId="3" borderId="40" xfId="46" applyFont="1" applyFill="1" applyBorder="1" applyAlignment="1">
      <alignment horizontal="center" vertical="center" wrapText="1"/>
    </xf>
    <xf numFmtId="0" fontId="59" fillId="6" borderId="29" xfId="46" applyFont="1" applyFill="1" applyBorder="1" applyAlignment="1">
      <alignment horizontal="center" vertical="center" wrapText="1"/>
    </xf>
    <xf numFmtId="0" fontId="59" fillId="6" borderId="138" xfId="46" applyFont="1" applyFill="1" applyBorder="1" applyAlignment="1">
      <alignment horizontal="center" vertical="center" wrapText="1"/>
    </xf>
    <xf numFmtId="0" fontId="59" fillId="6" borderId="140" xfId="46" applyFont="1" applyFill="1" applyBorder="1" applyAlignment="1">
      <alignment horizontal="center" vertical="center" wrapText="1"/>
    </xf>
    <xf numFmtId="0" fontId="65" fillId="0" borderId="5" xfId="46" applyFont="1" applyBorder="1" applyAlignment="1">
      <alignment horizontal="center" vertical="center" wrapText="1"/>
    </xf>
    <xf numFmtId="0" fontId="65" fillId="0" borderId="11" xfId="46" applyFont="1" applyBorder="1" applyAlignment="1">
      <alignment horizontal="center" vertical="center" wrapText="1"/>
    </xf>
    <xf numFmtId="0" fontId="146" fillId="0" borderId="5" xfId="46" applyFont="1" applyBorder="1" applyAlignment="1">
      <alignment horizontal="center" vertical="center" wrapText="1"/>
    </xf>
    <xf numFmtId="0" fontId="146" fillId="0" borderId="11" xfId="46" applyFont="1" applyBorder="1" applyAlignment="1">
      <alignment horizontal="center" vertical="center" wrapText="1"/>
    </xf>
    <xf numFmtId="0" fontId="147" fillId="0" borderId="5" xfId="46" applyFont="1" applyBorder="1" applyAlignment="1">
      <alignment horizontal="center" vertical="center" wrapText="1"/>
    </xf>
    <xf numFmtId="0" fontId="147" fillId="0" borderId="11" xfId="46" applyFont="1" applyBorder="1" applyAlignment="1">
      <alignment horizontal="center" vertical="center" wrapText="1"/>
    </xf>
    <xf numFmtId="0" fontId="0" fillId="0" borderId="42" xfId="0" applyFont="1" applyFill="1" applyBorder="1" applyAlignment="1">
      <alignment horizontal="left" vertical="center" wrapText="1"/>
    </xf>
    <xf numFmtId="0" fontId="0" fillId="0" borderId="40" xfId="0" applyFont="1" applyFill="1" applyBorder="1" applyAlignment="1">
      <alignment horizontal="left" vertical="center" wrapText="1"/>
    </xf>
    <xf numFmtId="0" fontId="0" fillId="6" borderId="39" xfId="0" applyFont="1" applyFill="1" applyBorder="1" applyAlignment="1">
      <alignment horizontal="left" vertical="center" wrapText="1"/>
    </xf>
    <xf numFmtId="0" fontId="0" fillId="6" borderId="40" xfId="0" applyFont="1" applyFill="1" applyBorder="1" applyAlignment="1">
      <alignment horizontal="left" vertical="center" wrapText="1"/>
    </xf>
    <xf numFmtId="0" fontId="43" fillId="0" borderId="131" xfId="46" applyFont="1" applyBorder="1" applyAlignment="1">
      <alignment horizontal="center" vertical="center"/>
    </xf>
    <xf numFmtId="0" fontId="43" fillId="0" borderId="19" xfId="46" applyFont="1" applyBorder="1" applyAlignment="1">
      <alignment horizontal="center" vertical="center"/>
    </xf>
    <xf numFmtId="0" fontId="43" fillId="0" borderId="132" xfId="46" applyFont="1" applyBorder="1" applyAlignment="1">
      <alignment horizontal="center" vertical="center"/>
    </xf>
    <xf numFmtId="0" fontId="11" fillId="6" borderId="41" xfId="0" applyFont="1" applyFill="1" applyBorder="1" applyAlignment="1">
      <alignment horizontal="left" vertical="center"/>
    </xf>
    <xf numFmtId="0" fontId="11" fillId="0" borderId="135" xfId="0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13" xfId="0" applyFont="1" applyFill="1" applyBorder="1" applyAlignment="1">
      <alignment horizontal="left" vertical="center"/>
    </xf>
    <xf numFmtId="3" fontId="11" fillId="6" borderId="133" xfId="0" applyNumberFormat="1" applyFont="1" applyFill="1" applyBorder="1" applyAlignment="1">
      <alignment horizontal="left" vertical="center"/>
    </xf>
    <xf numFmtId="3" fontId="11" fillId="6" borderId="137" xfId="0" applyNumberFormat="1" applyFont="1" applyFill="1" applyBorder="1" applyAlignment="1">
      <alignment horizontal="left" vertical="center"/>
    </xf>
    <xf numFmtId="3" fontId="11" fillId="6" borderId="134" xfId="0" applyNumberFormat="1" applyFont="1" applyFill="1" applyBorder="1" applyAlignment="1">
      <alignment horizontal="left" vertical="center"/>
    </xf>
    <xf numFmtId="0" fontId="11" fillId="0" borderId="133" xfId="0" applyFont="1" applyFill="1" applyBorder="1" applyAlignment="1">
      <alignment horizontal="left" vertical="center"/>
    </xf>
    <xf numFmtId="0" fontId="11" fillId="0" borderId="137" xfId="0" applyFont="1" applyFill="1" applyBorder="1" applyAlignment="1">
      <alignment horizontal="left" vertical="center"/>
    </xf>
    <xf numFmtId="0" fontId="11" fillId="0" borderId="134" xfId="0" applyFont="1" applyFill="1" applyBorder="1" applyAlignment="1">
      <alignment horizontal="left" vertical="center"/>
    </xf>
    <xf numFmtId="0" fontId="11" fillId="6" borderId="152" xfId="0" applyFont="1" applyFill="1" applyBorder="1" applyAlignment="1">
      <alignment horizontal="left" vertical="center"/>
    </xf>
    <xf numFmtId="0" fontId="11" fillId="6" borderId="153" xfId="0" applyFont="1" applyFill="1" applyBorder="1" applyAlignment="1">
      <alignment horizontal="left" vertical="center"/>
    </xf>
    <xf numFmtId="0" fontId="11" fillId="6" borderId="173" xfId="0" applyFont="1" applyFill="1" applyBorder="1" applyAlignment="1">
      <alignment horizontal="left" vertical="center"/>
    </xf>
    <xf numFmtId="0" fontId="11" fillId="6" borderId="141" xfId="0" applyFont="1" applyFill="1" applyBorder="1" applyAlignment="1">
      <alignment horizontal="left" vertical="center"/>
    </xf>
    <xf numFmtId="3" fontId="11" fillId="6" borderId="135" xfId="0" applyNumberFormat="1" applyFont="1" applyFill="1" applyBorder="1" applyAlignment="1">
      <alignment horizontal="left" vertical="center"/>
    </xf>
    <xf numFmtId="0" fontId="0" fillId="6" borderId="42" xfId="0" applyFont="1" applyFill="1" applyBorder="1" applyAlignment="1">
      <alignment horizontal="left" vertical="center" wrapText="1"/>
    </xf>
    <xf numFmtId="0" fontId="11" fillId="0" borderId="150" xfId="0" applyFont="1" applyFill="1" applyBorder="1" applyAlignment="1">
      <alignment horizontal="left" vertical="center"/>
    </xf>
    <xf numFmtId="0" fontId="11" fillId="0" borderId="151" xfId="0" applyFont="1" applyFill="1" applyBorder="1" applyAlignment="1">
      <alignment horizontal="left" vertical="center"/>
    </xf>
    <xf numFmtId="0" fontId="11" fillId="0" borderId="174" xfId="0" applyFont="1" applyFill="1" applyBorder="1" applyAlignment="1">
      <alignment horizontal="left" vertical="center"/>
    </xf>
    <xf numFmtId="9" fontId="20" fillId="0" borderId="137" xfId="74" applyNumberFormat="1" applyFont="1" applyFill="1" applyBorder="1" applyAlignment="1">
      <alignment horizontal="center" vertical="center" wrapText="1"/>
    </xf>
    <xf numFmtId="9" fontId="20" fillId="0" borderId="134" xfId="74" applyNumberFormat="1" applyFont="1" applyFill="1" applyBorder="1" applyAlignment="1">
      <alignment horizontal="center" vertical="center" wrapText="1"/>
    </xf>
    <xf numFmtId="9" fontId="65" fillId="0" borderId="133" xfId="74" applyNumberFormat="1" applyFont="1" applyFill="1" applyBorder="1" applyAlignment="1">
      <alignment horizontal="left" vertical="center" wrapText="1"/>
    </xf>
    <xf numFmtId="9" fontId="65" fillId="0" borderId="137" xfId="74" applyNumberFormat="1" applyFont="1" applyFill="1" applyBorder="1" applyAlignment="1">
      <alignment horizontal="left" vertical="center" wrapText="1"/>
    </xf>
    <xf numFmtId="9" fontId="65" fillId="0" borderId="134" xfId="74" applyNumberFormat="1" applyFont="1" applyFill="1" applyBorder="1" applyAlignment="1">
      <alignment horizontal="left" vertical="center" wrapText="1"/>
    </xf>
    <xf numFmtId="0" fontId="33" fillId="0" borderId="135" xfId="0" applyFont="1" applyBorder="1" applyAlignment="1">
      <alignment horizontal="center"/>
    </xf>
    <xf numFmtId="0" fontId="169" fillId="0" borderId="133" xfId="0" applyFont="1" applyBorder="1" applyAlignment="1">
      <alignment horizontal="left" vertical="center" wrapText="1"/>
    </xf>
    <xf numFmtId="0" fontId="169" fillId="0" borderId="134" xfId="0" applyFont="1" applyBorder="1" applyAlignment="1">
      <alignment horizontal="left" vertical="center" wrapText="1"/>
    </xf>
    <xf numFmtId="0" fontId="14" fillId="0" borderId="133" xfId="13" applyFont="1" applyFill="1" applyBorder="1" applyAlignment="1">
      <alignment horizontal="left" vertical="center"/>
    </xf>
    <xf numFmtId="0" fontId="14" fillId="0" borderId="137" xfId="13" applyFont="1" applyFill="1" applyBorder="1" applyAlignment="1">
      <alignment horizontal="left" vertical="center"/>
    </xf>
    <xf numFmtId="0" fontId="14" fillId="0" borderId="134" xfId="13" applyFont="1" applyFill="1" applyBorder="1" applyAlignment="1">
      <alignment horizontal="left" vertical="center"/>
    </xf>
    <xf numFmtId="0" fontId="33" fillId="0" borderId="133" xfId="0" applyFont="1" applyBorder="1" applyAlignment="1">
      <alignment horizontal="right" wrapText="1"/>
    </xf>
    <xf numFmtId="0" fontId="33" fillId="0" borderId="134" xfId="0" applyFont="1" applyBorder="1" applyAlignment="1">
      <alignment horizontal="right" wrapText="1"/>
    </xf>
    <xf numFmtId="0" fontId="169" fillId="0" borderId="133" xfId="0" applyFont="1" applyBorder="1" applyAlignment="1">
      <alignment horizontal="left"/>
    </xf>
    <xf numFmtId="0" fontId="169" fillId="0" borderId="134" xfId="0" applyFont="1" applyBorder="1" applyAlignment="1">
      <alignment horizontal="left"/>
    </xf>
    <xf numFmtId="0" fontId="33" fillId="0" borderId="133" xfId="13" applyFont="1" applyFill="1" applyBorder="1" applyAlignment="1">
      <alignment horizontal="right" vertical="center" wrapText="1"/>
    </xf>
    <xf numFmtId="0" fontId="33" fillId="0" borderId="134" xfId="13" applyFont="1" applyFill="1" applyBorder="1" applyAlignment="1">
      <alignment horizontal="right" vertical="center" wrapText="1"/>
    </xf>
    <xf numFmtId="0" fontId="14" fillId="0" borderId="133" xfId="13" applyFont="1" applyFill="1" applyBorder="1" applyAlignment="1">
      <alignment horizontal="center" vertical="center"/>
    </xf>
    <xf numFmtId="0" fontId="14" fillId="0" borderId="134" xfId="13" applyFont="1" applyFill="1" applyBorder="1" applyAlignment="1">
      <alignment horizontal="center" vertical="center"/>
    </xf>
    <xf numFmtId="0" fontId="14" fillId="0" borderId="135" xfId="13" applyFont="1" applyFill="1" applyBorder="1" applyAlignment="1">
      <alignment horizontal="left" vertical="center"/>
    </xf>
    <xf numFmtId="0" fontId="66" fillId="0" borderId="133" xfId="13" applyFont="1" applyFill="1" applyBorder="1" applyAlignment="1">
      <alignment horizontal="left" vertical="center" wrapText="1"/>
    </xf>
    <xf numFmtId="0" fontId="66" fillId="0" borderId="134" xfId="13" applyFont="1" applyFill="1" applyBorder="1" applyAlignment="1">
      <alignment horizontal="left" vertical="center" wrapText="1"/>
    </xf>
    <xf numFmtId="0" fontId="64" fillId="0" borderId="92" xfId="0" applyFont="1" applyBorder="1" applyAlignment="1">
      <alignment horizontal="left" vertical="center" wrapText="1"/>
    </xf>
    <xf numFmtId="0" fontId="64" fillId="0" borderId="93" xfId="0" applyFont="1" applyBorder="1" applyAlignment="1">
      <alignment horizontal="left" vertical="center" wrapText="1"/>
    </xf>
    <xf numFmtId="0" fontId="64" fillId="0" borderId="164" xfId="0" applyFont="1" applyBorder="1" applyAlignment="1">
      <alignment horizontal="left" vertical="center" wrapText="1"/>
    </xf>
    <xf numFmtId="0" fontId="33" fillId="0" borderId="165" xfId="0" applyFont="1" applyBorder="1" applyAlignment="1">
      <alignment horizontal="right" wrapText="1"/>
    </xf>
    <xf numFmtId="0" fontId="169" fillId="0" borderId="133" xfId="0" applyFont="1" applyBorder="1" applyAlignment="1">
      <alignment horizontal="left" wrapText="1"/>
    </xf>
    <xf numFmtId="0" fontId="169" fillId="0" borderId="134" xfId="0" applyFont="1" applyBorder="1" applyAlignment="1">
      <alignment horizontal="left" wrapText="1"/>
    </xf>
    <xf numFmtId="0" fontId="7" fillId="0" borderId="133" xfId="0" applyFont="1" applyBorder="1" applyAlignment="1">
      <alignment horizontal="left" wrapText="1"/>
    </xf>
    <xf numFmtId="0" fontId="7" fillId="0" borderId="134" xfId="0" applyFont="1" applyBorder="1" applyAlignment="1">
      <alignment horizontal="left" wrapText="1"/>
    </xf>
    <xf numFmtId="0" fontId="14" fillId="0" borderId="71" xfId="13" applyFont="1" applyFill="1" applyBorder="1" applyAlignment="1">
      <alignment horizontal="left" vertical="center"/>
    </xf>
    <xf numFmtId="0" fontId="66" fillId="0" borderId="71" xfId="1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14" fillId="0" borderId="133" xfId="46" applyFont="1" applyFill="1" applyBorder="1" applyAlignment="1">
      <alignment horizontal="left" vertical="center" wrapText="1"/>
    </xf>
    <xf numFmtId="0" fontId="14" fillId="0" borderId="134" xfId="46" applyFont="1" applyFill="1" applyBorder="1" applyAlignment="1">
      <alignment horizontal="left" vertical="center" wrapText="1"/>
    </xf>
    <xf numFmtId="0" fontId="60" fillId="0" borderId="2" xfId="80" applyFont="1" applyBorder="1" applyAlignment="1">
      <alignment horizontal="center" vertical="center"/>
    </xf>
    <xf numFmtId="0" fontId="43" fillId="9" borderId="59" xfId="46" applyFont="1" applyFill="1" applyBorder="1" applyAlignment="1">
      <alignment horizontal="center" vertical="center"/>
    </xf>
    <xf numFmtId="0" fontId="43" fillId="9" borderId="72" xfId="46" applyFont="1" applyFill="1" applyBorder="1" applyAlignment="1">
      <alignment horizontal="center" vertical="center"/>
    </xf>
    <xf numFmtId="0" fontId="43" fillId="9" borderId="69" xfId="46" applyFont="1" applyFill="1" applyBorder="1" applyAlignment="1">
      <alignment horizontal="center" vertical="center"/>
    </xf>
    <xf numFmtId="0" fontId="43" fillId="9" borderId="70" xfId="46" applyFont="1" applyFill="1" applyBorder="1" applyAlignment="1">
      <alignment horizontal="center" vertical="center"/>
    </xf>
    <xf numFmtId="0" fontId="43" fillId="9" borderId="103" xfId="46" applyFont="1" applyFill="1" applyBorder="1" applyAlignment="1">
      <alignment horizontal="center" vertical="center"/>
    </xf>
    <xf numFmtId="1" fontId="30" fillId="0" borderId="72" xfId="80" applyNumberFormat="1" applyFont="1" applyBorder="1" applyAlignment="1">
      <alignment horizontal="left" vertical="center" indent="1"/>
    </xf>
    <xf numFmtId="1" fontId="30" fillId="0" borderId="70" xfId="80" applyNumberFormat="1" applyFont="1" applyBorder="1" applyAlignment="1">
      <alignment horizontal="left" vertical="center" indent="1"/>
    </xf>
    <xf numFmtId="0" fontId="43" fillId="0" borderId="0" xfId="46" applyFont="1" applyFill="1" applyBorder="1" applyAlignment="1">
      <alignment horizontal="center" vertical="center"/>
    </xf>
    <xf numFmtId="1" fontId="18" fillId="0" borderId="103" xfId="80" applyNumberFormat="1" applyFont="1" applyFill="1" applyBorder="1" applyAlignment="1">
      <alignment horizontal="right" vertical="center"/>
    </xf>
    <xf numFmtId="168" fontId="31" fillId="0" borderId="11" xfId="77" applyNumberFormat="1" applyFont="1" applyFill="1" applyBorder="1" applyAlignment="1">
      <alignment horizontal="center" vertical="center"/>
    </xf>
    <xf numFmtId="168" fontId="31" fillId="0" borderId="109" xfId="77" applyNumberFormat="1" applyFont="1" applyFill="1" applyBorder="1" applyAlignment="1">
      <alignment horizontal="center" vertical="center"/>
    </xf>
  </cellXfs>
  <cellStyles count="327">
    <cellStyle name="20% - Accent1" xfId="192"/>
    <cellStyle name="20% - Accent2" xfId="193"/>
    <cellStyle name="20% - Accent3" xfId="194"/>
    <cellStyle name="20% - Accent4" xfId="195"/>
    <cellStyle name="20% - Accent5" xfId="196"/>
    <cellStyle name="20% - Accent6" xfId="197"/>
    <cellStyle name="20% - 强调文字颜色 1" xfId="198"/>
    <cellStyle name="20% - 强调文字颜色 2" xfId="199"/>
    <cellStyle name="20% - 强调文字颜色 3" xfId="200"/>
    <cellStyle name="20% - 强调文字颜色 4" xfId="201"/>
    <cellStyle name="20% - 强调文字颜色 5" xfId="202"/>
    <cellStyle name="20% - 强调文字颜色 6" xfId="203"/>
    <cellStyle name="40% - Accent1" xfId="204"/>
    <cellStyle name="40% - Accent2" xfId="205"/>
    <cellStyle name="40% - Accent3" xfId="206"/>
    <cellStyle name="40% - Accent4" xfId="207"/>
    <cellStyle name="40% - Accent5" xfId="208"/>
    <cellStyle name="40% - Accent6" xfId="209"/>
    <cellStyle name="40% - 强调文字颜色 1" xfId="210"/>
    <cellStyle name="40% - 强调文字颜色 2" xfId="211"/>
    <cellStyle name="40% - 强调文字颜色 3" xfId="212"/>
    <cellStyle name="40% - 强调文字颜色 4" xfId="213"/>
    <cellStyle name="40% - 强调文字颜色 5" xfId="214"/>
    <cellStyle name="40% - 强调文字颜色 6" xfId="215"/>
    <cellStyle name="60% - Accent1" xfId="216"/>
    <cellStyle name="60% - Accent2" xfId="217"/>
    <cellStyle name="60% - Accent3" xfId="218"/>
    <cellStyle name="60% - Accent4" xfId="219"/>
    <cellStyle name="60% - Accent5" xfId="220"/>
    <cellStyle name="60% - Accent6" xfId="221"/>
    <cellStyle name="60% - 强调文字颜色 1" xfId="222"/>
    <cellStyle name="60% - 强调文字颜色 2" xfId="223"/>
    <cellStyle name="60% - 强调文字颜色 3" xfId="224"/>
    <cellStyle name="60% - 强调文字颜色 4" xfId="225"/>
    <cellStyle name="60% - 强调文字颜色 5" xfId="226"/>
    <cellStyle name="60% - 强调文字颜色 6" xfId="227"/>
    <cellStyle name="Accent1" xfId="228"/>
    <cellStyle name="Accent2" xfId="229"/>
    <cellStyle name="Accent3" xfId="230"/>
    <cellStyle name="Accent4" xfId="231"/>
    <cellStyle name="Accent5" xfId="232"/>
    <cellStyle name="Accent6" xfId="233"/>
    <cellStyle name="Bad" xfId="234"/>
    <cellStyle name="Calculation" xfId="235"/>
    <cellStyle name="Calculation 2" xfId="300"/>
    <cellStyle name="Calculation 3" xfId="301"/>
    <cellStyle name="Calculation 4" xfId="302"/>
    <cellStyle name="Check Cell" xfId="236"/>
    <cellStyle name="Excel Built-in Normal" xfId="297"/>
    <cellStyle name="Explanatory Text" xfId="237"/>
    <cellStyle name="Good" xfId="238"/>
    <cellStyle name="Heading 1" xfId="239"/>
    <cellStyle name="Heading 2" xfId="240"/>
    <cellStyle name="Heading 3" xfId="241"/>
    <cellStyle name="Heading 4" xfId="242"/>
    <cellStyle name="Input" xfId="243"/>
    <cellStyle name="Input 2" xfId="303"/>
    <cellStyle name="Input 3" xfId="304"/>
    <cellStyle name="Input 4" xfId="305"/>
    <cellStyle name="Linked Cell" xfId="244"/>
    <cellStyle name="Neutral" xfId="245"/>
    <cellStyle name="Note" xfId="246"/>
    <cellStyle name="Note 2" xfId="306"/>
    <cellStyle name="Note 3" xfId="307"/>
    <cellStyle name="Note 4" xfId="308"/>
    <cellStyle name="Output" xfId="247"/>
    <cellStyle name="Output 2" xfId="309"/>
    <cellStyle name="Output 3" xfId="310"/>
    <cellStyle name="Title" xfId="248"/>
    <cellStyle name="Total" xfId="249"/>
    <cellStyle name="Total 2" xfId="311"/>
    <cellStyle name="Total 3" xfId="312"/>
    <cellStyle name="Warning Text" xfId="250"/>
    <cellStyle name="Гиперссылка" xfId="2" builtinId="8" hidden="1"/>
    <cellStyle name="Гиперссылка" xfId="4" builtinId="8" hidden="1"/>
    <cellStyle name="Гиперссылка" xfId="78" builtinId="8" hidden="1"/>
    <cellStyle name="Гиперссылка" xfId="79" builtinId="8" hidden="1"/>
    <cellStyle name="Гиперссылка" xfId="89" builtinId="8" hidden="1"/>
    <cellStyle name="Гиперссылка" xfId="144" builtinId="8" hidden="1"/>
    <cellStyle name="Гиперссылка" xfId="145" builtinId="8" hidden="1"/>
    <cellStyle name="Гиперссылка" xfId="142" builtinId="8" hidden="1"/>
    <cellStyle name="Гиперссылка" xfId="191" builtinId="8" hidden="1"/>
    <cellStyle name="Гиперссылка" xfId="284" builtinId="8"/>
    <cellStyle name="Гиперссылка 2" xfId="251"/>
    <cellStyle name="Гиперссылка 3" xfId="252"/>
    <cellStyle name="Гиперссылка 4" xfId="253"/>
    <cellStyle name="Гиперссылка 5" xfId="289"/>
    <cellStyle name="Гиперссылка 6" xfId="293"/>
    <cellStyle name="Денежный" xfId="81" builtinId="4"/>
    <cellStyle name="Денежный 2" xfId="16"/>
    <cellStyle name="Денежный 2 2" xfId="98"/>
    <cellStyle name="Денежный 2 3" xfId="147"/>
    <cellStyle name="Денежный 3" xfId="86"/>
    <cellStyle name="Денежный 4" xfId="285"/>
    <cellStyle name="Денежный 5" xfId="287"/>
    <cellStyle name="Денежный 6" xfId="294"/>
    <cellStyle name="Обычный" xfId="0" builtinId="0"/>
    <cellStyle name="Обычный 10" xfId="60"/>
    <cellStyle name="Обычный 11" xfId="64"/>
    <cellStyle name="Обычный 11 2" xfId="80"/>
    <cellStyle name="Обычный 11 3" xfId="138"/>
    <cellStyle name="Обычный 11 4" xfId="187"/>
    <cellStyle name="Обычный 11 5" xfId="298"/>
    <cellStyle name="Обычный 12" xfId="65"/>
    <cellStyle name="Обычный 12 2" xfId="139"/>
    <cellStyle name="Обычный 12 3" xfId="188"/>
    <cellStyle name="Обычный 13" xfId="254"/>
    <cellStyle name="Обычный 14" xfId="288"/>
    <cellStyle name="Обычный 15" xfId="299"/>
    <cellStyle name="Обычный 2" xfId="6"/>
    <cellStyle name="Обычный 2 2" xfId="13"/>
    <cellStyle name="Обычный 2 3" xfId="46"/>
    <cellStyle name="Обычный 2 4" xfId="286"/>
    <cellStyle name="Обычный 2 5" xfId="292"/>
    <cellStyle name="Обычный 2 6" xfId="296"/>
    <cellStyle name="Обычный 2 7" xfId="313"/>
    <cellStyle name="Обычный 3" xfId="9"/>
    <cellStyle name="Обычный 3 2" xfId="11"/>
    <cellStyle name="Обычный 3 3" xfId="17"/>
    <cellStyle name="Обычный 3 3 2" xfId="18"/>
    <cellStyle name="Обычный 3 3 2 2" xfId="74"/>
    <cellStyle name="Обычный 3 3 2 3" xfId="100"/>
    <cellStyle name="Обычный 3 3 2 4" xfId="149"/>
    <cellStyle name="Обычный 3 3 3" xfId="66"/>
    <cellStyle name="Обычный 3 3 3 2" xfId="140"/>
    <cellStyle name="Обычный 3 3 3 3" xfId="189"/>
    <cellStyle name="Обычный 3 3 4" xfId="73"/>
    <cellStyle name="Обычный 3 3 5" xfId="99"/>
    <cellStyle name="Обычный 3 3 6" xfId="148"/>
    <cellStyle name="Обычный 3 4" xfId="93"/>
    <cellStyle name="Обычный 3 5" xfId="91"/>
    <cellStyle name="Обычный 4" xfId="8"/>
    <cellStyle name="Обычный 4 2" xfId="10"/>
    <cellStyle name="Обычный 4 3" xfId="19"/>
    <cellStyle name="Обычный 4 3 2" xfId="20"/>
    <cellStyle name="Обычный 4 3 2 2" xfId="102"/>
    <cellStyle name="Обычный 4 3 2 3" xfId="151"/>
    <cellStyle name="Обычный 4 3 3" xfId="21"/>
    <cellStyle name="Обычный 4 3 3 2" xfId="48"/>
    <cellStyle name="Обычный 4 3 3 2 2" xfId="126"/>
    <cellStyle name="Обычный 4 3 3 2 3" xfId="175"/>
    <cellStyle name="Обычный 4 3 3 3" xfId="83"/>
    <cellStyle name="Обычный 4 3 3 4" xfId="103"/>
    <cellStyle name="Обычный 4 3 3 5" xfId="152"/>
    <cellStyle name="Обычный 4 3 4" xfId="49"/>
    <cellStyle name="Обычный 4 3 4 2" xfId="72"/>
    <cellStyle name="Обычный 4 3 4 3" xfId="127"/>
    <cellStyle name="Обычный 4 3 4 4" xfId="176"/>
    <cellStyle name="Обычный 4 3 5" xfId="69"/>
    <cellStyle name="Обычный 4 3 6" xfId="101"/>
    <cellStyle name="Обычный 4 3 7" xfId="150"/>
    <cellStyle name="Обычный 4 4" xfId="22"/>
    <cellStyle name="Обычный 4 4 2" xfId="23"/>
    <cellStyle name="Обычный 4 4 2 2" xfId="50"/>
    <cellStyle name="Обычный 4 4 2 2 2" xfId="128"/>
    <cellStyle name="Обычный 4 4 2 2 3" xfId="177"/>
    <cellStyle name="Обычный 4 4 2 3" xfId="59"/>
    <cellStyle name="Обычный 4 4 2 3 2" xfId="76"/>
    <cellStyle name="Обычный 4 4 2 3 3" xfId="136"/>
    <cellStyle name="Обычный 4 4 2 3 4" xfId="185"/>
    <cellStyle name="Обычный 4 4 2 4" xfId="105"/>
    <cellStyle name="Обычный 4 4 2 5" xfId="154"/>
    <cellStyle name="Обычный 4 4 3" xfId="104"/>
    <cellStyle name="Обычный 4 4 4" xfId="153"/>
    <cellStyle name="Обычный 4 5" xfId="92"/>
    <cellStyle name="Обычный 4 6" xfId="96"/>
    <cellStyle name="Обычный 4 7" xfId="290"/>
    <cellStyle name="Обычный 45" xfId="291"/>
    <cellStyle name="Обычный 5" xfId="24"/>
    <cellStyle name="Обычный 5 2" xfId="25"/>
    <cellStyle name="Обычный 5 2 2" xfId="12"/>
    <cellStyle name="Обычный 5 2 2 2" xfId="51"/>
    <cellStyle name="Обычный 5 2 2 2 2" xfId="129"/>
    <cellStyle name="Обычный 5 2 2 2 3" xfId="178"/>
    <cellStyle name="Обычный 5 2 2 3" xfId="84"/>
    <cellStyle name="Обычный 5 2 2 4" xfId="95"/>
    <cellStyle name="Обычный 5 2 2 5" xfId="87"/>
    <cellStyle name="Обычный 5 2 3" xfId="107"/>
    <cellStyle name="Обычный 5 2 4" xfId="156"/>
    <cellStyle name="Обычный 5 3" xfId="26"/>
    <cellStyle name="Обычный 5 3 2" xfId="108"/>
    <cellStyle name="Обычный 5 3 3" xfId="157"/>
    <cellStyle name="Обычный 5 4" xfId="106"/>
    <cellStyle name="Обычный 5 5" xfId="155"/>
    <cellStyle name="Обычный 6" xfId="27"/>
    <cellStyle name="Обычный 6 2" xfId="71"/>
    <cellStyle name="Обычный 6 3" xfId="109"/>
    <cellStyle name="Обычный 6 4" xfId="158"/>
    <cellStyle name="Обычный 7" xfId="28"/>
    <cellStyle name="Обычный 7 2" xfId="29"/>
    <cellStyle name="Обычный 7 2 2" xfId="52"/>
    <cellStyle name="Обычный 7 2 2 2" xfId="130"/>
    <cellStyle name="Обычный 7 2 2 3" xfId="179"/>
    <cellStyle name="Обычный 7 2 3" xfId="75"/>
    <cellStyle name="Обычный 7 2 4" xfId="111"/>
    <cellStyle name="Обычный 7 2 5" xfId="160"/>
    <cellStyle name="Обычный 7 3" xfId="110"/>
    <cellStyle name="Обычный 7 4" xfId="159"/>
    <cellStyle name="Обычный 8" xfId="53"/>
    <cellStyle name="Обычный 8 2" xfId="131"/>
    <cellStyle name="Обычный 8 3" xfId="180"/>
    <cellStyle name="Обычный 9" xfId="54"/>
    <cellStyle name="Обычный 9 2" xfId="132"/>
    <cellStyle name="Обычный 9 3" xfId="181"/>
    <cellStyle name="Обычный_Лист1" xfId="1"/>
    <cellStyle name="Обычный_прайс1_Прайс" xfId="58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4" builtinId="9" hidden="1"/>
    <cellStyle name="Открывавшаяся гиперссылка" xfId="143" builtinId="9" hidden="1"/>
    <cellStyle name="Процентный" xfId="14" builtinId="5"/>
    <cellStyle name="Процентный 2" xfId="30"/>
    <cellStyle name="Процентный 2 2" xfId="31"/>
    <cellStyle name="Процентный 2 2 2" xfId="112"/>
    <cellStyle name="Процентный 2 2 2 2" xfId="295"/>
    <cellStyle name="Процентный 2 2 3" xfId="161"/>
    <cellStyle name="Процентный 2 3" xfId="32"/>
    <cellStyle name="Процентный 2 3 2" xfId="113"/>
    <cellStyle name="Процентный 2 3 3" xfId="162"/>
    <cellStyle name="Процентный 3" xfId="33"/>
    <cellStyle name="Процентный 3 2" xfId="34"/>
    <cellStyle name="Процентный 3 2 2" xfId="55"/>
    <cellStyle name="Процентный 3 2 2 2" xfId="133"/>
    <cellStyle name="Процентный 3 2 2 3" xfId="182"/>
    <cellStyle name="Процентный 3 2 3" xfId="115"/>
    <cellStyle name="Процентный 3 2 4" xfId="164"/>
    <cellStyle name="Процентный 3 3" xfId="35"/>
    <cellStyle name="Процентный 3 3 2" xfId="116"/>
    <cellStyle name="Процентный 3 3 3" xfId="165"/>
    <cellStyle name="Процентный 3 4" xfId="47"/>
    <cellStyle name="Процентный 3 5" xfId="114"/>
    <cellStyle name="Процентный 3 6" xfId="163"/>
    <cellStyle name="Процентный 4" xfId="36"/>
    <cellStyle name="Процентный 4 2" xfId="117"/>
    <cellStyle name="Процентный 4 3" xfId="166"/>
    <cellStyle name="Процентный 5" xfId="61"/>
    <cellStyle name="Процентный 6" xfId="68"/>
    <cellStyle name="Стиль 1" xfId="255"/>
    <cellStyle name="Финансовый" xfId="7" builtinId="3"/>
    <cellStyle name="Финансовый 2" xfId="15"/>
    <cellStyle name="Финансовый 2 2" xfId="37"/>
    <cellStyle name="Финансовый 2 2 2" xfId="118"/>
    <cellStyle name="Финансовый 2 2 3" xfId="167"/>
    <cellStyle name="Финансовый 2 3" xfId="67"/>
    <cellStyle name="Финансовый 2 3 2" xfId="141"/>
    <cellStyle name="Финансовый 2 3 3" xfId="190"/>
    <cellStyle name="Финансовый 2 4" xfId="70"/>
    <cellStyle name="Финансовый 2 5" xfId="97"/>
    <cellStyle name="Финансовый 2 6" xfId="146"/>
    <cellStyle name="Финансовый 3" xfId="38"/>
    <cellStyle name="Финансовый 3 2" xfId="39"/>
    <cellStyle name="Финансовый 3 2 2" xfId="40"/>
    <cellStyle name="Финансовый 3 2 2 2" xfId="62"/>
    <cellStyle name="Финансовый 3 2 2 2 2" xfId="77"/>
    <cellStyle name="Финансовый 3 2 2 2 3" xfId="137"/>
    <cellStyle name="Финансовый 3 2 2 2 4" xfId="186"/>
    <cellStyle name="Финансовый 3 2 2 3" xfId="120"/>
    <cellStyle name="Финансовый 3 2 2 4" xfId="169"/>
    <cellStyle name="Финансовый 3 2 3" xfId="119"/>
    <cellStyle name="Финансовый 3 2 4" xfId="168"/>
    <cellStyle name="Финансовый 4" xfId="41"/>
    <cellStyle name="Финансовый 4 2" xfId="42"/>
    <cellStyle name="Финансовый 4 2 2" xfId="56"/>
    <cellStyle name="Финансовый 4 2 2 2" xfId="82"/>
    <cellStyle name="Финансовый 4 2 2 3" xfId="134"/>
    <cellStyle name="Финансовый 4 2 2 4" xfId="183"/>
    <cellStyle name="Финансовый 4 2 3" xfId="122"/>
    <cellStyle name="Финансовый 4 2 4" xfId="171"/>
    <cellStyle name="Финансовый 4 3" xfId="43"/>
    <cellStyle name="Финансовый 4 3 2" xfId="123"/>
    <cellStyle name="Финансовый 4 3 3" xfId="172"/>
    <cellStyle name="Финансовый 4 4" xfId="121"/>
    <cellStyle name="Финансовый 4 5" xfId="170"/>
    <cellStyle name="Финансовый 5" xfId="44"/>
    <cellStyle name="Финансовый 5 2" xfId="124"/>
    <cellStyle name="Финансовый 5 3" xfId="173"/>
    <cellStyle name="Финансовый 6" xfId="45"/>
    <cellStyle name="Финансовый 6 2" xfId="125"/>
    <cellStyle name="Финансовый 6 3" xfId="174"/>
    <cellStyle name="Финансовый 7" xfId="57"/>
    <cellStyle name="Финансовый 7 2" xfId="135"/>
    <cellStyle name="Финансовый 7 3" xfId="184"/>
    <cellStyle name="Финансовый 8" xfId="63"/>
    <cellStyle name="Финансовый 9" xfId="85"/>
    <cellStyle name="好" xfId="256"/>
    <cellStyle name="好_Хуадонг 19.02." xfId="257"/>
    <cellStyle name="好_Хуадонг 21.10." xfId="258"/>
    <cellStyle name="差" xfId="259"/>
    <cellStyle name="差_Хуадонг 19.02." xfId="260"/>
    <cellStyle name="差_Хуадонг 21.10." xfId="261"/>
    <cellStyle name="常规_invoice_6" xfId="262"/>
    <cellStyle name="强调文字颜色 1" xfId="263"/>
    <cellStyle name="强调文字颜色 2" xfId="264"/>
    <cellStyle name="强调文字颜色 3" xfId="265"/>
    <cellStyle name="强调文字颜色 4" xfId="266"/>
    <cellStyle name="强调文字颜色 5" xfId="267"/>
    <cellStyle name="强调文字颜色 6" xfId="268"/>
    <cellStyle name="标题" xfId="269"/>
    <cellStyle name="标题 1" xfId="270"/>
    <cellStyle name="标题 2" xfId="271"/>
    <cellStyle name="标题 3" xfId="272"/>
    <cellStyle name="标题 4" xfId="273"/>
    <cellStyle name="检查单元格" xfId="274"/>
    <cellStyle name="汇总" xfId="275"/>
    <cellStyle name="汇总 2" xfId="314"/>
    <cellStyle name="汇总 3" xfId="315"/>
    <cellStyle name="注释" xfId="276"/>
    <cellStyle name="注释 2" xfId="316"/>
    <cellStyle name="注释 3" xfId="317"/>
    <cellStyle name="注释 4" xfId="318"/>
    <cellStyle name="解释性文本" xfId="277"/>
    <cellStyle name="警告文本" xfId="278"/>
    <cellStyle name="计算" xfId="279"/>
    <cellStyle name="计算 2" xfId="319"/>
    <cellStyle name="计算 3" xfId="320"/>
    <cellStyle name="计算 4" xfId="321"/>
    <cellStyle name="输入" xfId="280"/>
    <cellStyle name="输入 2" xfId="322"/>
    <cellStyle name="输入 3" xfId="323"/>
    <cellStyle name="输入 4" xfId="324"/>
    <cellStyle name="输出" xfId="281"/>
    <cellStyle name="输出 2" xfId="325"/>
    <cellStyle name="输出 3" xfId="326"/>
    <cellStyle name="适中" xfId="282"/>
    <cellStyle name="链接单元格" xfId="283"/>
  </cellStyles>
  <dxfs count="68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18" Type="http://schemas.openxmlformats.org/officeDocument/2006/relationships/image" Target="../media/image58.jpeg"/><Relationship Id="rId26" Type="http://schemas.openxmlformats.org/officeDocument/2006/relationships/image" Target="../media/image30.png"/><Relationship Id="rId3" Type="http://schemas.openxmlformats.org/officeDocument/2006/relationships/image" Target="../media/image43.jpeg"/><Relationship Id="rId21" Type="http://schemas.openxmlformats.org/officeDocument/2006/relationships/image" Target="../media/image61.jpe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7.jpeg"/><Relationship Id="rId25" Type="http://schemas.openxmlformats.org/officeDocument/2006/relationships/image" Target="../media/image8.png"/><Relationship Id="rId2" Type="http://schemas.openxmlformats.org/officeDocument/2006/relationships/image" Target="../media/image42.jpeg"/><Relationship Id="rId16" Type="http://schemas.openxmlformats.org/officeDocument/2006/relationships/image" Target="../media/image56.jpeg"/><Relationship Id="rId20" Type="http://schemas.openxmlformats.org/officeDocument/2006/relationships/image" Target="../media/image60.jpe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24" Type="http://schemas.openxmlformats.org/officeDocument/2006/relationships/image" Target="../media/image64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23" Type="http://schemas.openxmlformats.org/officeDocument/2006/relationships/image" Target="../media/image63.jpeg"/><Relationship Id="rId10" Type="http://schemas.openxmlformats.org/officeDocument/2006/relationships/image" Target="../media/image50.jpeg"/><Relationship Id="rId19" Type="http://schemas.openxmlformats.org/officeDocument/2006/relationships/image" Target="../media/image59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Relationship Id="rId22" Type="http://schemas.openxmlformats.org/officeDocument/2006/relationships/image" Target="../media/image62.jpeg"/><Relationship Id="rId27" Type="http://schemas.openxmlformats.org/officeDocument/2006/relationships/image" Target="../media/image6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30.png"/><Relationship Id="rId1" Type="http://schemas.openxmlformats.org/officeDocument/2006/relationships/image" Target="../media/image8.png"/><Relationship Id="rId4" Type="http://schemas.openxmlformats.org/officeDocument/2006/relationships/image" Target="../media/image6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8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7.png"/><Relationship Id="rId2" Type="http://schemas.openxmlformats.org/officeDocument/2006/relationships/image" Target="../media/image68.png"/><Relationship Id="rId16" Type="http://schemas.openxmlformats.org/officeDocument/2006/relationships/image" Target="../media/image81.png"/><Relationship Id="rId1" Type="http://schemas.openxmlformats.org/officeDocument/2006/relationships/image" Target="../media/image8.png"/><Relationship Id="rId6" Type="http://schemas.openxmlformats.org/officeDocument/2006/relationships/image" Target="../media/image72.png"/><Relationship Id="rId11" Type="http://schemas.openxmlformats.org/officeDocument/2006/relationships/image" Target="../media/image76.png"/><Relationship Id="rId5" Type="http://schemas.openxmlformats.org/officeDocument/2006/relationships/image" Target="../media/image71.png"/><Relationship Id="rId15" Type="http://schemas.openxmlformats.org/officeDocument/2006/relationships/image" Target="../media/image80.png"/><Relationship Id="rId10" Type="http://schemas.openxmlformats.org/officeDocument/2006/relationships/image" Target="../media/image75.png"/><Relationship Id="rId4" Type="http://schemas.openxmlformats.org/officeDocument/2006/relationships/image" Target="../media/image70.png"/><Relationship Id="rId9" Type="http://schemas.openxmlformats.org/officeDocument/2006/relationships/image" Target="../media/image30.png"/><Relationship Id="rId14" Type="http://schemas.openxmlformats.org/officeDocument/2006/relationships/image" Target="../media/image7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3" Type="http://schemas.openxmlformats.org/officeDocument/2006/relationships/image" Target="../media/image85.jpeg"/><Relationship Id="rId7" Type="http://schemas.openxmlformats.org/officeDocument/2006/relationships/image" Target="../media/image88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6" Type="http://schemas.openxmlformats.org/officeDocument/2006/relationships/image" Target="../media/image87.jpeg"/><Relationship Id="rId5" Type="http://schemas.openxmlformats.org/officeDocument/2006/relationships/image" Target="../media/image86.jpeg"/><Relationship Id="rId10" Type="http://schemas.openxmlformats.org/officeDocument/2006/relationships/image" Target="../media/image91.jpeg"/><Relationship Id="rId4" Type="http://schemas.openxmlformats.org/officeDocument/2006/relationships/image" Target="../media/image8.png"/><Relationship Id="rId9" Type="http://schemas.openxmlformats.org/officeDocument/2006/relationships/image" Target="../media/image90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98.png"/><Relationship Id="rId3" Type="http://schemas.openxmlformats.org/officeDocument/2006/relationships/image" Target="../media/image70.png"/><Relationship Id="rId7" Type="http://schemas.openxmlformats.org/officeDocument/2006/relationships/image" Target="../media/image94.png"/><Relationship Id="rId12" Type="http://schemas.openxmlformats.org/officeDocument/2006/relationships/image" Target="../media/image97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6" Type="http://schemas.openxmlformats.org/officeDocument/2006/relationships/image" Target="../media/image93.png"/><Relationship Id="rId11" Type="http://schemas.openxmlformats.org/officeDocument/2006/relationships/image" Target="../media/image96.png"/><Relationship Id="rId5" Type="http://schemas.openxmlformats.org/officeDocument/2006/relationships/image" Target="../media/image72.png"/><Relationship Id="rId15" Type="http://schemas.openxmlformats.org/officeDocument/2006/relationships/image" Target="../media/image8.png"/><Relationship Id="rId10" Type="http://schemas.openxmlformats.org/officeDocument/2006/relationships/image" Target="../media/image95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9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30.png"/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jpeg"/><Relationship Id="rId3" Type="http://schemas.openxmlformats.org/officeDocument/2006/relationships/image" Target="../media/image104.jpeg"/><Relationship Id="rId7" Type="http://schemas.openxmlformats.org/officeDocument/2006/relationships/image" Target="../media/image108.jpeg"/><Relationship Id="rId12" Type="http://schemas.openxmlformats.org/officeDocument/2006/relationships/image" Target="../media/image113.jpeg"/><Relationship Id="rId2" Type="http://schemas.openxmlformats.org/officeDocument/2006/relationships/image" Target="../media/image103.jpeg"/><Relationship Id="rId1" Type="http://schemas.openxmlformats.org/officeDocument/2006/relationships/image" Target="../media/image8.png"/><Relationship Id="rId6" Type="http://schemas.openxmlformats.org/officeDocument/2006/relationships/image" Target="../media/image107.jpeg"/><Relationship Id="rId11" Type="http://schemas.openxmlformats.org/officeDocument/2006/relationships/image" Target="../media/image112.jpeg"/><Relationship Id="rId5" Type="http://schemas.openxmlformats.org/officeDocument/2006/relationships/image" Target="../media/image106.jpeg"/><Relationship Id="rId10" Type="http://schemas.openxmlformats.org/officeDocument/2006/relationships/image" Target="../media/image111.png"/><Relationship Id="rId4" Type="http://schemas.openxmlformats.org/officeDocument/2006/relationships/image" Target="../media/image105.jpeg"/><Relationship Id="rId9" Type="http://schemas.openxmlformats.org/officeDocument/2006/relationships/image" Target="../media/image110.jpeg"/><Relationship Id="rId14" Type="http://schemas.openxmlformats.org/officeDocument/2006/relationships/image" Target="../media/image115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3" Type="http://schemas.openxmlformats.org/officeDocument/2006/relationships/image" Target="../media/image8.png"/><Relationship Id="rId7" Type="http://schemas.openxmlformats.org/officeDocument/2006/relationships/image" Target="../media/image120.jpeg"/><Relationship Id="rId12" Type="http://schemas.openxmlformats.org/officeDocument/2006/relationships/image" Target="NULL"/><Relationship Id="rId2" Type="http://schemas.openxmlformats.org/officeDocument/2006/relationships/image" Target="NULL"/><Relationship Id="rId1" Type="http://schemas.openxmlformats.org/officeDocument/2006/relationships/image" Target="../media/image116.png"/><Relationship Id="rId6" Type="http://schemas.openxmlformats.org/officeDocument/2006/relationships/image" Target="../media/image119.jpeg"/><Relationship Id="rId11" Type="http://schemas.openxmlformats.org/officeDocument/2006/relationships/image" Target="../media/image124.jpeg"/><Relationship Id="rId5" Type="http://schemas.openxmlformats.org/officeDocument/2006/relationships/image" Target="../media/image118.jpeg"/><Relationship Id="rId10" Type="http://schemas.openxmlformats.org/officeDocument/2006/relationships/image" Target="../media/image123.jpeg"/><Relationship Id="rId4" Type="http://schemas.openxmlformats.org/officeDocument/2006/relationships/image" Target="../media/image117.png"/><Relationship Id="rId9" Type="http://schemas.openxmlformats.org/officeDocument/2006/relationships/image" Target="../media/image12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3" Type="http://schemas.openxmlformats.org/officeDocument/2006/relationships/image" Target="../media/image126.jpeg"/><Relationship Id="rId7" Type="http://schemas.openxmlformats.org/officeDocument/2006/relationships/image" Target="../media/image130.jpeg"/><Relationship Id="rId2" Type="http://schemas.openxmlformats.org/officeDocument/2006/relationships/image" Target="../media/image118.jpeg"/><Relationship Id="rId1" Type="http://schemas.openxmlformats.org/officeDocument/2006/relationships/image" Target="../media/image8.png"/><Relationship Id="rId6" Type="http://schemas.openxmlformats.org/officeDocument/2006/relationships/image" Target="../media/image129.jpeg"/><Relationship Id="rId5" Type="http://schemas.openxmlformats.org/officeDocument/2006/relationships/image" Target="../media/image128.jpeg"/><Relationship Id="rId4" Type="http://schemas.openxmlformats.org/officeDocument/2006/relationships/image" Target="../media/image127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2.png"/><Relationship Id="rId3" Type="http://schemas.openxmlformats.org/officeDocument/2006/relationships/image" Target="../media/image132.jpeg"/><Relationship Id="rId7" Type="http://schemas.openxmlformats.org/officeDocument/2006/relationships/image" Target="../media/image136.png"/><Relationship Id="rId12" Type="http://schemas.openxmlformats.org/officeDocument/2006/relationships/image" Target="../media/image141.png"/><Relationship Id="rId2" Type="http://schemas.openxmlformats.org/officeDocument/2006/relationships/image" Target="../media/image8.png"/><Relationship Id="rId1" Type="http://schemas.openxmlformats.org/officeDocument/2006/relationships/image" Target="NULL"/><Relationship Id="rId6" Type="http://schemas.openxmlformats.org/officeDocument/2006/relationships/image" Target="../media/image135.jpeg"/><Relationship Id="rId11" Type="http://schemas.openxmlformats.org/officeDocument/2006/relationships/image" Target="../media/image140.png"/><Relationship Id="rId5" Type="http://schemas.openxmlformats.org/officeDocument/2006/relationships/image" Target="../media/image134.jpeg"/><Relationship Id="rId10" Type="http://schemas.openxmlformats.org/officeDocument/2006/relationships/image" Target="../media/image139.png"/><Relationship Id="rId4" Type="http://schemas.openxmlformats.org/officeDocument/2006/relationships/image" Target="../media/image133.jpeg"/><Relationship Id="rId9" Type="http://schemas.openxmlformats.org/officeDocument/2006/relationships/image" Target="../media/image138.png"/><Relationship Id="rId14" Type="http://schemas.openxmlformats.org/officeDocument/2006/relationships/image" Target="NUL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png"/><Relationship Id="rId2" Type="http://schemas.openxmlformats.org/officeDocument/2006/relationships/image" Target="../media/image144.png"/><Relationship Id="rId1" Type="http://schemas.openxmlformats.org/officeDocument/2006/relationships/image" Target="../media/image8.png"/><Relationship Id="rId6" Type="http://schemas.openxmlformats.org/officeDocument/2006/relationships/image" Target="../media/image147.jpeg"/><Relationship Id="rId5" Type="http://schemas.openxmlformats.org/officeDocument/2006/relationships/image" Target="../media/image146.jpeg"/><Relationship Id="rId4" Type="http://schemas.microsoft.com/office/2007/relationships/hdphoto" Target="../media/hdphoto1.wdp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jpeg"/><Relationship Id="rId3" Type="http://schemas.openxmlformats.org/officeDocument/2006/relationships/image" Target="../media/image150.png"/><Relationship Id="rId7" Type="http://schemas.openxmlformats.org/officeDocument/2006/relationships/image" Target="../media/image153.jpeg"/><Relationship Id="rId12" Type="http://schemas.openxmlformats.org/officeDocument/2006/relationships/image" Target="../media/image158.jpeg"/><Relationship Id="rId2" Type="http://schemas.openxmlformats.org/officeDocument/2006/relationships/image" Target="../media/image149.png"/><Relationship Id="rId1" Type="http://schemas.openxmlformats.org/officeDocument/2006/relationships/image" Target="../media/image8.png"/><Relationship Id="rId6" Type="http://schemas.openxmlformats.org/officeDocument/2006/relationships/image" Target="../media/image152.jpeg"/><Relationship Id="rId11" Type="http://schemas.openxmlformats.org/officeDocument/2006/relationships/image" Target="../media/image157.jpeg"/><Relationship Id="rId5" Type="http://schemas.microsoft.com/office/2007/relationships/hdphoto" Target="../media/hdphoto2.wdp"/><Relationship Id="rId10" Type="http://schemas.openxmlformats.org/officeDocument/2006/relationships/image" Target="../media/image156.jpeg"/><Relationship Id="rId4" Type="http://schemas.openxmlformats.org/officeDocument/2006/relationships/image" Target="../media/image151.png"/><Relationship Id="rId9" Type="http://schemas.openxmlformats.org/officeDocument/2006/relationships/image" Target="../media/image155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3" Type="http://schemas.openxmlformats.org/officeDocument/2006/relationships/image" Target="../media/image160.jpeg"/><Relationship Id="rId7" Type="http://schemas.openxmlformats.org/officeDocument/2006/relationships/image" Target="../media/image164.jpeg"/><Relationship Id="rId12" Type="http://schemas.openxmlformats.org/officeDocument/2006/relationships/image" Target="../media/image168.jpeg"/><Relationship Id="rId2" Type="http://schemas.openxmlformats.org/officeDocument/2006/relationships/image" Target="../media/image159.jpeg"/><Relationship Id="rId1" Type="http://schemas.openxmlformats.org/officeDocument/2006/relationships/image" Target="../media/image8.png"/><Relationship Id="rId6" Type="http://schemas.openxmlformats.org/officeDocument/2006/relationships/image" Target="../media/image163.jpeg"/><Relationship Id="rId11" Type="http://schemas.openxmlformats.org/officeDocument/2006/relationships/image" Target="../media/image167.jpeg"/><Relationship Id="rId5" Type="http://schemas.openxmlformats.org/officeDocument/2006/relationships/image" Target="../media/image162.jpeg"/><Relationship Id="rId10" Type="http://schemas.openxmlformats.org/officeDocument/2006/relationships/image" Target="../media/image166.jpeg"/><Relationship Id="rId4" Type="http://schemas.openxmlformats.org/officeDocument/2006/relationships/image" Target="../media/image161.jpeg"/><Relationship Id="rId9" Type="http://schemas.openxmlformats.org/officeDocument/2006/relationships/image" Target="../media/image30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172.jpeg"/><Relationship Id="rId7" Type="http://schemas.openxmlformats.org/officeDocument/2006/relationships/image" Target="../media/image8.png"/><Relationship Id="rId2" Type="http://schemas.openxmlformats.org/officeDocument/2006/relationships/image" Target="../media/image171.jpeg"/><Relationship Id="rId1" Type="http://schemas.openxmlformats.org/officeDocument/2006/relationships/image" Target="../media/image170.jpeg"/><Relationship Id="rId6" Type="http://schemas.openxmlformats.org/officeDocument/2006/relationships/image" Target="../media/image175.jpeg"/><Relationship Id="rId5" Type="http://schemas.openxmlformats.org/officeDocument/2006/relationships/image" Target="../media/image174.jpeg"/><Relationship Id="rId4" Type="http://schemas.openxmlformats.org/officeDocument/2006/relationships/image" Target="../media/image173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179.jpeg"/><Relationship Id="rId7" Type="http://schemas.openxmlformats.org/officeDocument/2006/relationships/image" Target="../media/image8.png"/><Relationship Id="rId2" Type="http://schemas.openxmlformats.org/officeDocument/2006/relationships/image" Target="../media/image178.jpeg"/><Relationship Id="rId1" Type="http://schemas.openxmlformats.org/officeDocument/2006/relationships/image" Target="../media/image177.jpeg"/><Relationship Id="rId6" Type="http://schemas.openxmlformats.org/officeDocument/2006/relationships/image" Target="../media/image182.jpeg"/><Relationship Id="rId5" Type="http://schemas.openxmlformats.org/officeDocument/2006/relationships/image" Target="../media/image181.jpeg"/><Relationship Id="rId4" Type="http://schemas.openxmlformats.org/officeDocument/2006/relationships/image" Target="../media/image180.jpeg"/><Relationship Id="rId9" Type="http://schemas.openxmlformats.org/officeDocument/2006/relationships/image" Target="../media/image183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184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png"/><Relationship Id="rId2" Type="http://schemas.openxmlformats.org/officeDocument/2006/relationships/image" Target="../media/image8.png"/><Relationship Id="rId1" Type="http://schemas.openxmlformats.org/officeDocument/2006/relationships/image" Target="NULL"/><Relationship Id="rId4" Type="http://schemas.openxmlformats.org/officeDocument/2006/relationships/image" Target="../media/image189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8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png"/><Relationship Id="rId3" Type="http://schemas.openxmlformats.org/officeDocument/2006/relationships/image" Target="../media/image195.jpeg"/><Relationship Id="rId7" Type="http://schemas.openxmlformats.org/officeDocument/2006/relationships/image" Target="../media/image199.png"/><Relationship Id="rId12" Type="http://schemas.openxmlformats.org/officeDocument/2006/relationships/image" Target="../media/image204.png"/><Relationship Id="rId2" Type="http://schemas.openxmlformats.org/officeDocument/2006/relationships/image" Target="../media/image194.png"/><Relationship Id="rId1" Type="http://schemas.openxmlformats.org/officeDocument/2006/relationships/image" Target="../media/image8.png"/><Relationship Id="rId6" Type="http://schemas.openxmlformats.org/officeDocument/2006/relationships/image" Target="../media/image198.png"/><Relationship Id="rId11" Type="http://schemas.openxmlformats.org/officeDocument/2006/relationships/image" Target="../media/image203.png"/><Relationship Id="rId5" Type="http://schemas.openxmlformats.org/officeDocument/2006/relationships/image" Target="../media/image197.png"/><Relationship Id="rId10" Type="http://schemas.openxmlformats.org/officeDocument/2006/relationships/image" Target="../media/image202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3.jpeg"/><Relationship Id="rId13" Type="http://schemas.openxmlformats.org/officeDocument/2006/relationships/image" Target="../media/image218.png"/><Relationship Id="rId18" Type="http://schemas.openxmlformats.org/officeDocument/2006/relationships/image" Target="../media/image223.jpeg"/><Relationship Id="rId26" Type="http://schemas.openxmlformats.org/officeDocument/2006/relationships/image" Target="../media/image231.png"/><Relationship Id="rId3" Type="http://schemas.openxmlformats.org/officeDocument/2006/relationships/image" Target="../media/image208.jpeg"/><Relationship Id="rId21" Type="http://schemas.openxmlformats.org/officeDocument/2006/relationships/image" Target="../media/image226.png"/><Relationship Id="rId7" Type="http://schemas.openxmlformats.org/officeDocument/2006/relationships/image" Target="../media/image212.jpeg"/><Relationship Id="rId12" Type="http://schemas.openxmlformats.org/officeDocument/2006/relationships/image" Target="../media/image217.png"/><Relationship Id="rId17" Type="http://schemas.openxmlformats.org/officeDocument/2006/relationships/image" Target="../media/image222.jpeg"/><Relationship Id="rId25" Type="http://schemas.openxmlformats.org/officeDocument/2006/relationships/image" Target="../media/image230.png"/><Relationship Id="rId2" Type="http://schemas.openxmlformats.org/officeDocument/2006/relationships/image" Target="../media/image207.jpeg"/><Relationship Id="rId16" Type="http://schemas.openxmlformats.org/officeDocument/2006/relationships/image" Target="../media/image221.jpeg"/><Relationship Id="rId20" Type="http://schemas.openxmlformats.org/officeDocument/2006/relationships/image" Target="../media/image225.jpeg"/><Relationship Id="rId29" Type="http://schemas.openxmlformats.org/officeDocument/2006/relationships/image" Target="../media/image234.jpeg"/><Relationship Id="rId1" Type="http://schemas.openxmlformats.org/officeDocument/2006/relationships/image" Target="../media/image206.jpeg"/><Relationship Id="rId6" Type="http://schemas.openxmlformats.org/officeDocument/2006/relationships/image" Target="../media/image211.jpeg"/><Relationship Id="rId11" Type="http://schemas.openxmlformats.org/officeDocument/2006/relationships/image" Target="../media/image216.jpeg"/><Relationship Id="rId24" Type="http://schemas.openxmlformats.org/officeDocument/2006/relationships/image" Target="../media/image229.png"/><Relationship Id="rId5" Type="http://schemas.openxmlformats.org/officeDocument/2006/relationships/image" Target="../media/image210.jpeg"/><Relationship Id="rId15" Type="http://schemas.openxmlformats.org/officeDocument/2006/relationships/image" Target="../media/image220.jpeg"/><Relationship Id="rId23" Type="http://schemas.openxmlformats.org/officeDocument/2006/relationships/image" Target="../media/image228.png"/><Relationship Id="rId28" Type="http://schemas.openxmlformats.org/officeDocument/2006/relationships/image" Target="../media/image233.jpeg"/><Relationship Id="rId10" Type="http://schemas.openxmlformats.org/officeDocument/2006/relationships/image" Target="../media/image215.png"/><Relationship Id="rId19" Type="http://schemas.openxmlformats.org/officeDocument/2006/relationships/image" Target="../media/image224.jpeg"/><Relationship Id="rId4" Type="http://schemas.openxmlformats.org/officeDocument/2006/relationships/image" Target="../media/image209.jpeg"/><Relationship Id="rId9" Type="http://schemas.openxmlformats.org/officeDocument/2006/relationships/image" Target="../media/image214.png"/><Relationship Id="rId14" Type="http://schemas.openxmlformats.org/officeDocument/2006/relationships/image" Target="../media/image219.png"/><Relationship Id="rId22" Type="http://schemas.openxmlformats.org/officeDocument/2006/relationships/image" Target="../media/image227.png"/><Relationship Id="rId27" Type="http://schemas.openxmlformats.org/officeDocument/2006/relationships/image" Target="../media/image232.png"/><Relationship Id="rId30" Type="http://schemas.openxmlformats.org/officeDocument/2006/relationships/image" Target="../media/image23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0.png"/><Relationship Id="rId2" Type="http://schemas.openxmlformats.org/officeDocument/2006/relationships/image" Target="../media/image239.png"/><Relationship Id="rId1" Type="http://schemas.openxmlformats.org/officeDocument/2006/relationships/image" Target="../media/image238.jpeg"/><Relationship Id="rId5" Type="http://schemas.openxmlformats.org/officeDocument/2006/relationships/image" Target="../media/image242.png"/><Relationship Id="rId4" Type="http://schemas.openxmlformats.org/officeDocument/2006/relationships/image" Target="../media/image24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4.png"/><Relationship Id="rId1" Type="http://schemas.openxmlformats.org/officeDocument/2006/relationships/image" Target="../media/image24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3.png"/><Relationship Id="rId13" Type="http://schemas.openxmlformats.org/officeDocument/2006/relationships/image" Target="../media/image258.jpeg"/><Relationship Id="rId3" Type="http://schemas.openxmlformats.org/officeDocument/2006/relationships/image" Target="../media/image248.png"/><Relationship Id="rId7" Type="http://schemas.openxmlformats.org/officeDocument/2006/relationships/image" Target="../media/image252.png"/><Relationship Id="rId12" Type="http://schemas.openxmlformats.org/officeDocument/2006/relationships/image" Target="../media/image257.jpeg"/><Relationship Id="rId2" Type="http://schemas.openxmlformats.org/officeDocument/2006/relationships/image" Target="../media/image247.png"/><Relationship Id="rId1" Type="http://schemas.openxmlformats.org/officeDocument/2006/relationships/image" Target="../media/image246.png"/><Relationship Id="rId6" Type="http://schemas.openxmlformats.org/officeDocument/2006/relationships/image" Target="../media/image251.png"/><Relationship Id="rId11" Type="http://schemas.openxmlformats.org/officeDocument/2006/relationships/image" Target="../media/image256.png"/><Relationship Id="rId5" Type="http://schemas.openxmlformats.org/officeDocument/2006/relationships/image" Target="../media/image250.png"/><Relationship Id="rId10" Type="http://schemas.openxmlformats.org/officeDocument/2006/relationships/image" Target="../media/image255.png"/><Relationship Id="rId4" Type="http://schemas.openxmlformats.org/officeDocument/2006/relationships/image" Target="../media/image249.png"/><Relationship Id="rId9" Type="http://schemas.openxmlformats.org/officeDocument/2006/relationships/image" Target="../media/image254.png"/><Relationship Id="rId14" Type="http://schemas.openxmlformats.org/officeDocument/2006/relationships/image" Target="../media/image259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2.png"/><Relationship Id="rId2" Type="http://schemas.openxmlformats.org/officeDocument/2006/relationships/image" Target="../media/image261.jpeg"/><Relationship Id="rId1" Type="http://schemas.openxmlformats.org/officeDocument/2006/relationships/image" Target="../media/image8.png"/><Relationship Id="rId5" Type="http://schemas.openxmlformats.org/officeDocument/2006/relationships/image" Target="../media/image264.png"/><Relationship Id="rId4" Type="http://schemas.openxmlformats.org/officeDocument/2006/relationships/image" Target="../media/image26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3.jpeg"/><Relationship Id="rId13" Type="http://schemas.openxmlformats.org/officeDocument/2006/relationships/image" Target="../media/image278.png"/><Relationship Id="rId18" Type="http://schemas.openxmlformats.org/officeDocument/2006/relationships/image" Target="../media/image283.png"/><Relationship Id="rId3" Type="http://schemas.openxmlformats.org/officeDocument/2006/relationships/image" Target="../media/image268.jpeg"/><Relationship Id="rId7" Type="http://schemas.openxmlformats.org/officeDocument/2006/relationships/image" Target="../media/image272.jpeg"/><Relationship Id="rId12" Type="http://schemas.openxmlformats.org/officeDocument/2006/relationships/image" Target="../media/image277.png"/><Relationship Id="rId17" Type="http://schemas.openxmlformats.org/officeDocument/2006/relationships/image" Target="../media/image282.png"/><Relationship Id="rId2" Type="http://schemas.openxmlformats.org/officeDocument/2006/relationships/image" Target="../media/image267.png"/><Relationship Id="rId16" Type="http://schemas.openxmlformats.org/officeDocument/2006/relationships/image" Target="../media/image281.png"/><Relationship Id="rId1" Type="http://schemas.openxmlformats.org/officeDocument/2006/relationships/image" Target="../media/image266.jpeg"/><Relationship Id="rId6" Type="http://schemas.openxmlformats.org/officeDocument/2006/relationships/image" Target="../media/image271.jpeg"/><Relationship Id="rId11" Type="http://schemas.openxmlformats.org/officeDocument/2006/relationships/image" Target="../media/image276.jpeg"/><Relationship Id="rId5" Type="http://schemas.openxmlformats.org/officeDocument/2006/relationships/image" Target="../media/image270.jpeg"/><Relationship Id="rId15" Type="http://schemas.openxmlformats.org/officeDocument/2006/relationships/image" Target="../media/image280.jpeg"/><Relationship Id="rId10" Type="http://schemas.openxmlformats.org/officeDocument/2006/relationships/image" Target="../media/image275.jpeg"/><Relationship Id="rId4" Type="http://schemas.openxmlformats.org/officeDocument/2006/relationships/image" Target="../media/image269.jpeg"/><Relationship Id="rId9" Type="http://schemas.openxmlformats.org/officeDocument/2006/relationships/image" Target="../media/image274.jpeg"/><Relationship Id="rId14" Type="http://schemas.openxmlformats.org/officeDocument/2006/relationships/image" Target="../media/image279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6.png"/><Relationship Id="rId1" Type="http://schemas.openxmlformats.org/officeDocument/2006/relationships/image" Target="../media/image28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9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8.pn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8.pn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8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2" Type="http://schemas.openxmlformats.org/officeDocument/2006/relationships/image" Target="../media/image30.png"/><Relationship Id="rId1" Type="http://schemas.openxmlformats.org/officeDocument/2006/relationships/image" Target="../media/image8.png"/><Relationship Id="rId6" Type="http://schemas.openxmlformats.org/officeDocument/2006/relationships/image" Target="../media/image34.jpeg"/><Relationship Id="rId5" Type="http://schemas.openxmlformats.org/officeDocument/2006/relationships/image" Target="../media/image33.jpeg"/><Relationship Id="rId4" Type="http://schemas.openxmlformats.org/officeDocument/2006/relationships/image" Target="../media/image3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0.png"/><Relationship Id="rId1" Type="http://schemas.openxmlformats.org/officeDocument/2006/relationships/image" Target="../media/image8.png"/><Relationship Id="rId4" Type="http://schemas.openxmlformats.org/officeDocument/2006/relationships/image" Target="../media/image3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9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7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0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0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0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82.png"/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2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0.png"/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2.jpe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2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3.png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48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48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9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6.jpe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7.png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0.png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3.png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3.png"/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05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6.png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7.png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7.png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5.png"/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0.png"/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5.png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4.png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7.png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8.png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8.png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0.png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2.png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3.png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4.png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51527</xdr:colOff>
      <xdr:row>31</xdr:row>
      <xdr:rowOff>171333</xdr:rowOff>
    </xdr:from>
    <xdr:ext cx="3098074" cy="460761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980647" y="5840613"/>
          <a:ext cx="3098074" cy="460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2000" b="1" baseline="0">
              <a:latin typeface="Montserrat" pitchFamily="50" charset="-52"/>
            </a:rPr>
            <a:t>Редакция от  23.09.19</a:t>
          </a:r>
        </a:p>
        <a:p>
          <a:pPr lvl="1">
            <a:lnSpc>
              <a:spcPts val="1080"/>
            </a:lnSpc>
          </a:pPr>
          <a:endParaRPr lang="ru-RU" sz="900" b="0" baseline="0">
            <a:latin typeface="Montserrat" pitchFamily="50" charset="-52"/>
          </a:endParaRPr>
        </a:p>
      </xdr:txBody>
    </xdr:sp>
    <xdr:clientData/>
  </xdr:oneCellAnchor>
  <xdr:twoCellAnchor>
    <xdr:from>
      <xdr:col>0</xdr:col>
      <xdr:colOff>11206</xdr:colOff>
      <xdr:row>1</xdr:row>
      <xdr:rowOff>1</xdr:rowOff>
    </xdr:from>
    <xdr:to>
      <xdr:col>17</xdr:col>
      <xdr:colOff>16323</xdr:colOff>
      <xdr:row>41</xdr:row>
      <xdr:rowOff>27915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190501"/>
          <a:ext cx="10292117" cy="7647914"/>
        </a:xfrm>
        <a:prstGeom prst="rect">
          <a:avLst/>
        </a:prstGeom>
      </xdr:spPr>
    </xdr:pic>
    <xdr:clientData/>
  </xdr:twoCellAnchor>
  <xdr:twoCellAnchor>
    <xdr:from>
      <xdr:col>8</xdr:col>
      <xdr:colOff>201706</xdr:colOff>
      <xdr:row>14</xdr:row>
      <xdr:rowOff>163601</xdr:rowOff>
    </xdr:from>
    <xdr:to>
      <xdr:col>16</xdr:col>
      <xdr:colOff>560294</xdr:colOff>
      <xdr:row>24</xdr:row>
      <xdr:rowOff>44822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042647" y="2830601"/>
          <a:ext cx="5199529" cy="178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4000" b="0">
              <a:solidFill>
                <a:sysClr val="windowText" lastClr="000000"/>
              </a:solidFill>
              <a:latin typeface="Montserrat" pitchFamily="50" charset="-52"/>
            </a:rPr>
            <a:t>ПРАЙС-ЛИСТ</a:t>
          </a:r>
          <a:r>
            <a:rPr lang="ru-RU" sz="4000" b="0" baseline="0">
              <a:solidFill>
                <a:sysClr val="windowText" lastClr="000000"/>
              </a:solidFill>
              <a:latin typeface="Montserrat" pitchFamily="50" charset="-52"/>
            </a:rPr>
            <a:t>  </a:t>
          </a:r>
        </a:p>
        <a:p>
          <a:pPr algn="l">
            <a:lnSpc>
              <a:spcPts val="2160"/>
            </a:lnSpc>
          </a:pPr>
          <a:r>
            <a:rPr lang="ru-RU" sz="1800" b="0" baseline="0">
              <a:solidFill>
                <a:sysClr val="windowText" lastClr="000000"/>
              </a:solidFill>
              <a:latin typeface="Montserrat" pitchFamily="50" charset="-52"/>
            </a:rPr>
            <a:t>от  02.12.2024г. (редакция 3 от 25.12.2024г)</a:t>
          </a:r>
        </a:p>
        <a:p>
          <a:pPr algn="l">
            <a:lnSpc>
              <a:spcPts val="2160"/>
            </a:lnSpc>
          </a:pPr>
          <a:endParaRPr lang="ru-RU" sz="1800" b="0" baseline="0">
            <a:solidFill>
              <a:sysClr val="windowText" lastClr="000000"/>
            </a:solidFill>
            <a:latin typeface="Montserrat" pitchFamily="50" charset="-5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99911</xdr:colOff>
      <xdr:row>2</xdr:row>
      <xdr:rowOff>0</xdr:rowOff>
    </xdr:from>
    <xdr:to>
      <xdr:col>10</xdr:col>
      <xdr:colOff>952498</xdr:colOff>
      <xdr:row>2</xdr:row>
      <xdr:rowOff>1132382</xdr:rowOff>
    </xdr:to>
    <xdr:grpSp>
      <xdr:nvGrpSpPr>
        <xdr:cNvPr id="20" name="Группа 19"/>
        <xdr:cNvGrpSpPr/>
      </xdr:nvGrpSpPr>
      <xdr:grpSpPr>
        <a:xfrm>
          <a:off x="10482161" y="462643"/>
          <a:ext cx="852587" cy="1132382"/>
          <a:chOff x="11041756" y="201557"/>
          <a:chExt cx="1246476" cy="1383262"/>
        </a:xfrm>
      </xdr:grpSpPr>
      <xdr:pic>
        <xdr:nvPicPr>
          <xdr:cNvPr id="26" name="Рисунок 25" descr="корсика.png">
            <a:extLst>
              <a:ext uri="{FF2B5EF4-FFF2-40B4-BE49-F238E27FC236}">
                <a16:creationId xmlns="" xmlns:a16="http://schemas.microsoft.com/office/drawing/2014/main" id="{00000000-0008-0000-16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71637" y="202406"/>
            <a:ext cx="616595" cy="1382413"/>
          </a:xfrm>
          <a:prstGeom prst="rect">
            <a:avLst/>
          </a:prstGeom>
        </xdr:spPr>
      </xdr:pic>
      <xdr:pic>
        <xdr:nvPicPr>
          <xdr:cNvPr id="34" name="Рисунок 33" descr="корсика.png">
            <a:extLst>
              <a:ext uri="{FF2B5EF4-FFF2-40B4-BE49-F238E27FC236}">
                <a16:creationId xmlns="" xmlns:a16="http://schemas.microsoft.com/office/drawing/2014/main" id="{00000000-0008-0000-16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1041756" y="201557"/>
            <a:ext cx="619649" cy="138196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376941</xdr:colOff>
      <xdr:row>2</xdr:row>
      <xdr:rowOff>11905</xdr:rowOff>
    </xdr:from>
    <xdr:to>
      <xdr:col>12</xdr:col>
      <xdr:colOff>1345406</xdr:colOff>
      <xdr:row>3</xdr:row>
      <xdr:rowOff>3276</xdr:rowOff>
    </xdr:to>
    <xdr:grpSp>
      <xdr:nvGrpSpPr>
        <xdr:cNvPr id="9" name="Группа 8"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GrpSpPr/>
      </xdr:nvGrpSpPr>
      <xdr:grpSpPr>
        <a:xfrm>
          <a:off x="12854691" y="474548"/>
          <a:ext cx="968465" cy="1134371"/>
          <a:chOff x="11570858" y="1138440"/>
          <a:chExt cx="1225804" cy="1389302"/>
        </a:xfrm>
      </xdr:grpSpPr>
      <xdr:pic>
        <xdr:nvPicPr>
          <xdr:cNvPr id="28" name="Рисунок 27" descr="корсика.png">
            <a:extLst>
              <a:ext uri="{FF2B5EF4-FFF2-40B4-BE49-F238E27FC236}">
                <a16:creationId xmlns="" xmlns:a16="http://schemas.microsoft.com/office/drawing/2014/main" id="{00000000-0008-0000-16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2178440" y="1138440"/>
            <a:ext cx="618222" cy="1389302"/>
          </a:xfrm>
          <a:prstGeom prst="rect">
            <a:avLst/>
          </a:prstGeom>
        </xdr:spPr>
      </xdr:pic>
      <xdr:pic>
        <xdr:nvPicPr>
          <xdr:cNvPr id="36" name="Рисунок 35" descr="корсика.png">
            <a:extLst>
              <a:ext uri="{FF2B5EF4-FFF2-40B4-BE49-F238E27FC236}">
                <a16:creationId xmlns="" xmlns:a16="http://schemas.microsoft.com/office/drawing/2014/main" id="{00000000-0008-0000-16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1570858" y="1138667"/>
            <a:ext cx="619649" cy="138885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379011</xdr:colOff>
      <xdr:row>1</xdr:row>
      <xdr:rowOff>226217</xdr:rowOff>
    </xdr:from>
    <xdr:to>
      <xdr:col>13</xdr:col>
      <xdr:colOff>1238251</xdr:colOff>
      <xdr:row>3</xdr:row>
      <xdr:rowOff>28111</xdr:rowOff>
    </xdr:to>
    <xdr:grpSp>
      <xdr:nvGrpSpPr>
        <xdr:cNvPr id="10" name="Группа 9">
          <a:extLst>
            <a:ext uri="{FF2B5EF4-FFF2-40B4-BE49-F238E27FC236}">
              <a16:creationId xmlns="" xmlns:a16="http://schemas.microsoft.com/office/drawing/2014/main" id="{00000000-0008-0000-1600-00000A000000}"/>
            </a:ext>
          </a:extLst>
        </xdr:cNvPr>
        <xdr:cNvGrpSpPr/>
      </xdr:nvGrpSpPr>
      <xdr:grpSpPr>
        <a:xfrm>
          <a:off x="14571261" y="457538"/>
          <a:ext cx="859240" cy="1176216"/>
          <a:chOff x="13007458" y="1149325"/>
          <a:chExt cx="1218349" cy="1389304"/>
        </a:xfrm>
      </xdr:grpSpPr>
      <xdr:pic>
        <xdr:nvPicPr>
          <xdr:cNvPr id="29" name="Рисунок 28" descr="корсика.png">
            <a:extLst>
              <a:ext uri="{FF2B5EF4-FFF2-40B4-BE49-F238E27FC236}">
                <a16:creationId xmlns="" xmlns:a16="http://schemas.microsoft.com/office/drawing/2014/main" id="{00000000-0008-0000-16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3607584" y="1149325"/>
            <a:ext cx="618223" cy="1389304"/>
          </a:xfrm>
          <a:prstGeom prst="rect">
            <a:avLst/>
          </a:prstGeom>
        </xdr:spPr>
      </xdr:pic>
      <xdr:pic>
        <xdr:nvPicPr>
          <xdr:cNvPr id="37" name="Рисунок 36" descr="корсика.png">
            <a:extLst>
              <a:ext uri="{FF2B5EF4-FFF2-40B4-BE49-F238E27FC236}">
                <a16:creationId xmlns="" xmlns:a16="http://schemas.microsoft.com/office/drawing/2014/main" id="{00000000-0008-0000-16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007458" y="1149326"/>
            <a:ext cx="619036" cy="1389302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364244</xdr:colOff>
      <xdr:row>2</xdr:row>
      <xdr:rowOff>0</xdr:rowOff>
    </xdr:from>
    <xdr:to>
      <xdr:col>7</xdr:col>
      <xdr:colOff>1292505</xdr:colOff>
      <xdr:row>2</xdr:row>
      <xdr:rowOff>1137339</xdr:rowOff>
    </xdr:to>
    <xdr:grpSp>
      <xdr:nvGrpSpPr>
        <xdr:cNvPr id="8" name="Группа 7"/>
        <xdr:cNvGrpSpPr/>
      </xdr:nvGrpSpPr>
      <xdr:grpSpPr>
        <a:xfrm>
          <a:off x="6269744" y="462643"/>
          <a:ext cx="928261" cy="1137339"/>
          <a:chOff x="6162588" y="226219"/>
          <a:chExt cx="1278707" cy="1373818"/>
        </a:xfrm>
      </xdr:grpSpPr>
      <xdr:pic>
        <xdr:nvPicPr>
          <xdr:cNvPr id="33" name="Рисунок 32" descr="корсика.png">
            <a:extLst>
              <a:ext uri="{FF2B5EF4-FFF2-40B4-BE49-F238E27FC236}">
                <a16:creationId xmlns="" xmlns:a16="http://schemas.microsoft.com/office/drawing/2014/main" id="{00000000-0008-0000-16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162588" y="226219"/>
            <a:ext cx="618023" cy="1371388"/>
          </a:xfrm>
          <a:prstGeom prst="rect">
            <a:avLst/>
          </a:prstGeom>
        </xdr:spPr>
      </xdr:pic>
      <xdr:pic>
        <xdr:nvPicPr>
          <xdr:cNvPr id="35" name="Рисунок 34" descr="корсика.png">
            <a:extLst>
              <a:ext uri="{FF2B5EF4-FFF2-40B4-BE49-F238E27FC236}">
                <a16:creationId xmlns="" xmlns:a16="http://schemas.microsoft.com/office/drawing/2014/main" id="{00000000-0008-0000-16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822259" y="250031"/>
            <a:ext cx="619036" cy="1350006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385352</xdr:colOff>
      <xdr:row>2</xdr:row>
      <xdr:rowOff>59531</xdr:rowOff>
    </xdr:from>
    <xdr:to>
      <xdr:col>6</xdr:col>
      <xdr:colOff>1250156</xdr:colOff>
      <xdr:row>2</xdr:row>
      <xdr:rowOff>1135165</xdr:rowOff>
    </xdr:to>
    <xdr:grpSp>
      <xdr:nvGrpSpPr>
        <xdr:cNvPr id="4" name="Группа 3"/>
        <xdr:cNvGrpSpPr/>
      </xdr:nvGrpSpPr>
      <xdr:grpSpPr>
        <a:xfrm>
          <a:off x="4576352" y="522174"/>
          <a:ext cx="864804" cy="1075634"/>
          <a:chOff x="4445382" y="297656"/>
          <a:chExt cx="1209739" cy="1349478"/>
        </a:xfrm>
      </xdr:grpSpPr>
      <xdr:pic>
        <xdr:nvPicPr>
          <xdr:cNvPr id="19" name="Рисунок 18" descr="корсика.png">
            <a:extLst>
              <a:ext uri="{FF2B5EF4-FFF2-40B4-BE49-F238E27FC236}">
                <a16:creationId xmlns="" xmlns:a16="http://schemas.microsoft.com/office/drawing/2014/main" id="{00000000-0008-0000-16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4445382" y="297657"/>
            <a:ext cx="619649" cy="1349477"/>
          </a:xfrm>
          <a:prstGeom prst="rect">
            <a:avLst/>
          </a:prstGeom>
        </xdr:spPr>
      </xdr:pic>
      <xdr:pic>
        <xdr:nvPicPr>
          <xdr:cNvPr id="38" name="Рисунок 37" descr="корсика.png">
            <a:extLst>
              <a:ext uri="{FF2B5EF4-FFF2-40B4-BE49-F238E27FC236}">
                <a16:creationId xmlns="" xmlns:a16="http://schemas.microsoft.com/office/drawing/2014/main" id="{00000000-0008-0000-16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5085622" y="297656"/>
            <a:ext cx="569499" cy="134766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156822</xdr:colOff>
      <xdr:row>2</xdr:row>
      <xdr:rowOff>-1</xdr:rowOff>
    </xdr:from>
    <xdr:to>
      <xdr:col>8</xdr:col>
      <xdr:colOff>1583529</xdr:colOff>
      <xdr:row>3</xdr:row>
      <xdr:rowOff>3053</xdr:rowOff>
    </xdr:to>
    <xdr:grpSp>
      <xdr:nvGrpSpPr>
        <xdr:cNvPr id="18" name="Группа 17"/>
        <xdr:cNvGrpSpPr/>
      </xdr:nvGrpSpPr>
      <xdr:grpSpPr>
        <a:xfrm>
          <a:off x="7776822" y="462642"/>
          <a:ext cx="1426707" cy="1146054"/>
          <a:chOff x="7586324" y="511969"/>
          <a:chExt cx="1319551" cy="1086522"/>
        </a:xfrm>
      </xdr:grpSpPr>
      <xdr:pic>
        <xdr:nvPicPr>
          <xdr:cNvPr id="25" name="Рисунок 24" descr="корсика.png">
            <a:extLst>
              <a:ext uri="{FF2B5EF4-FFF2-40B4-BE49-F238E27FC236}">
                <a16:creationId xmlns="" xmlns:a16="http://schemas.microsoft.com/office/drawing/2014/main" id="{00000000-0008-0000-16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7586324" y="511969"/>
            <a:ext cx="439357" cy="1084907"/>
          </a:xfrm>
          <a:prstGeom prst="rect">
            <a:avLst/>
          </a:prstGeom>
        </xdr:spPr>
      </xdr:pic>
      <xdr:pic>
        <xdr:nvPicPr>
          <xdr:cNvPr id="27" name="Рисунок 26" descr="корсика.png">
            <a:extLst>
              <a:ext uri="{FF2B5EF4-FFF2-40B4-BE49-F238E27FC236}">
                <a16:creationId xmlns="" xmlns:a16="http://schemas.microsoft.com/office/drawing/2014/main" id="{00000000-0008-0000-16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8046327" y="511969"/>
            <a:ext cx="438779" cy="1086522"/>
          </a:xfrm>
          <a:prstGeom prst="rect">
            <a:avLst/>
          </a:prstGeom>
        </xdr:spPr>
      </xdr:pic>
      <xdr:pic>
        <xdr:nvPicPr>
          <xdr:cNvPr id="39" name="Рисунок 38" descr="корсика.png">
            <a:extLst>
              <a:ext uri="{FF2B5EF4-FFF2-40B4-BE49-F238E27FC236}">
                <a16:creationId xmlns="" xmlns:a16="http://schemas.microsoft.com/office/drawing/2014/main" id="{00000000-0008-0000-16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8499948" y="512886"/>
            <a:ext cx="405927" cy="108497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652950</xdr:colOff>
      <xdr:row>9</xdr:row>
      <xdr:rowOff>0</xdr:rowOff>
    </xdr:from>
    <xdr:to>
      <xdr:col>6</xdr:col>
      <xdr:colOff>1153196</xdr:colOff>
      <xdr:row>10</xdr:row>
      <xdr:rowOff>3634</xdr:rowOff>
    </xdr:to>
    <xdr:pic>
      <xdr:nvPicPr>
        <xdr:cNvPr id="164" name="Рисунок 163" descr="корсика.png">
          <a:extLst>
            <a:ext uri="{FF2B5EF4-FFF2-40B4-BE49-F238E27FC236}">
              <a16:creationId xmlns="" xmlns:a16="http://schemas.microsoft.com/office/drawing/2014/main" id="{00000000-0008-0000-1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91575" y="6203156"/>
          <a:ext cx="500246" cy="1146634"/>
        </a:xfrm>
        <a:prstGeom prst="rect">
          <a:avLst/>
        </a:prstGeom>
      </xdr:spPr>
    </xdr:pic>
    <xdr:clientData/>
  </xdr:twoCellAnchor>
  <xdr:twoCellAnchor>
    <xdr:from>
      <xdr:col>9</xdr:col>
      <xdr:colOff>47070</xdr:colOff>
      <xdr:row>9</xdr:row>
      <xdr:rowOff>59531</xdr:rowOff>
    </xdr:from>
    <xdr:to>
      <xdr:col>9</xdr:col>
      <xdr:colOff>976312</xdr:colOff>
      <xdr:row>10</xdr:row>
      <xdr:rowOff>17803</xdr:rowOff>
    </xdr:to>
    <xdr:grpSp>
      <xdr:nvGrpSpPr>
        <xdr:cNvPr id="16" name="Группа 15">
          <a:extLst>
            <a:ext uri="{FF2B5EF4-FFF2-40B4-BE49-F238E27FC236}">
              <a16:creationId xmlns="" xmlns:a16="http://schemas.microsoft.com/office/drawing/2014/main" id="{00000000-0008-0000-1600-000010000000}"/>
            </a:ext>
          </a:extLst>
        </xdr:cNvPr>
        <xdr:cNvGrpSpPr/>
      </xdr:nvGrpSpPr>
      <xdr:grpSpPr>
        <a:xfrm>
          <a:off x="9381570" y="3229995"/>
          <a:ext cx="929242" cy="1101272"/>
          <a:chOff x="7307159" y="11615280"/>
          <a:chExt cx="1230555" cy="1375232"/>
        </a:xfrm>
      </xdr:grpSpPr>
      <xdr:pic>
        <xdr:nvPicPr>
          <xdr:cNvPr id="166" name="Рисунок 165" descr="корсика.png">
            <a:extLst>
              <a:ext uri="{FF2B5EF4-FFF2-40B4-BE49-F238E27FC236}">
                <a16:creationId xmlns="" xmlns:a16="http://schemas.microsoft.com/office/drawing/2014/main" id="{00000000-0008-0000-1600-0000A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7946548" y="11625944"/>
            <a:ext cx="591166" cy="1364568"/>
          </a:xfrm>
          <a:prstGeom prst="rect">
            <a:avLst/>
          </a:prstGeom>
        </xdr:spPr>
      </xdr:pic>
      <xdr:pic>
        <xdr:nvPicPr>
          <xdr:cNvPr id="172" name="Рисунок 171" descr="корсика.png">
            <a:extLst>
              <a:ext uri="{FF2B5EF4-FFF2-40B4-BE49-F238E27FC236}">
                <a16:creationId xmlns="" xmlns:a16="http://schemas.microsoft.com/office/drawing/2014/main" id="{00000000-0008-0000-16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7307159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308544</xdr:colOff>
      <xdr:row>9</xdr:row>
      <xdr:rowOff>59532</xdr:rowOff>
    </xdr:from>
    <xdr:to>
      <xdr:col>8</xdr:col>
      <xdr:colOff>1293555</xdr:colOff>
      <xdr:row>10</xdr:row>
      <xdr:rowOff>0</xdr:rowOff>
    </xdr:to>
    <xdr:grpSp>
      <xdr:nvGrpSpPr>
        <xdr:cNvPr id="21" name="Группа 20"/>
        <xdr:cNvGrpSpPr/>
      </xdr:nvGrpSpPr>
      <xdr:grpSpPr>
        <a:xfrm>
          <a:off x="7928544" y="3229996"/>
          <a:ext cx="985011" cy="1083468"/>
          <a:chOff x="7761856" y="6215063"/>
          <a:chExt cx="985011" cy="1083468"/>
        </a:xfrm>
      </xdr:grpSpPr>
      <xdr:pic>
        <xdr:nvPicPr>
          <xdr:cNvPr id="165" name="Рисунок 164" descr="корсика.png">
            <a:extLst>
              <a:ext uri="{FF2B5EF4-FFF2-40B4-BE49-F238E27FC236}">
                <a16:creationId xmlns="" xmlns:a16="http://schemas.microsoft.com/office/drawing/2014/main" id="{00000000-0008-0000-16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761856" y="6215064"/>
            <a:ext cx="465364" cy="1079280"/>
          </a:xfrm>
          <a:prstGeom prst="rect">
            <a:avLst/>
          </a:prstGeom>
        </xdr:spPr>
      </xdr:pic>
      <xdr:pic>
        <xdr:nvPicPr>
          <xdr:cNvPr id="167" name="Рисунок 166" descr="корсика.png">
            <a:extLst>
              <a:ext uri="{FF2B5EF4-FFF2-40B4-BE49-F238E27FC236}">
                <a16:creationId xmlns="" xmlns:a16="http://schemas.microsoft.com/office/drawing/2014/main" id="{00000000-0008-0000-1600-0000A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8272248" y="6215063"/>
            <a:ext cx="474619" cy="1083468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341113</xdr:colOff>
      <xdr:row>9</xdr:row>
      <xdr:rowOff>23812</xdr:rowOff>
    </xdr:from>
    <xdr:to>
      <xdr:col>7</xdr:col>
      <xdr:colOff>1309687</xdr:colOff>
      <xdr:row>9</xdr:row>
      <xdr:rowOff>1089365</xdr:rowOff>
    </xdr:to>
    <xdr:grpSp>
      <xdr:nvGrpSpPr>
        <xdr:cNvPr id="31" name="Группа 30"/>
        <xdr:cNvGrpSpPr/>
      </xdr:nvGrpSpPr>
      <xdr:grpSpPr>
        <a:xfrm>
          <a:off x="6246613" y="3194276"/>
          <a:ext cx="968574" cy="1065553"/>
          <a:chOff x="6318051" y="6250781"/>
          <a:chExt cx="1008612" cy="1101272"/>
        </a:xfrm>
      </xdr:grpSpPr>
      <xdr:pic>
        <xdr:nvPicPr>
          <xdr:cNvPr id="171" name="Рисунок 170" descr="корсика.png">
            <a:extLst>
              <a:ext uri="{FF2B5EF4-FFF2-40B4-BE49-F238E27FC236}">
                <a16:creationId xmlns="" xmlns:a16="http://schemas.microsoft.com/office/drawing/2014/main" id="{00000000-0008-0000-16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318051" y="6250781"/>
            <a:ext cx="465364" cy="1079280"/>
          </a:xfrm>
          <a:prstGeom prst="rect">
            <a:avLst/>
          </a:prstGeom>
        </xdr:spPr>
      </xdr:pic>
      <xdr:pic>
        <xdr:nvPicPr>
          <xdr:cNvPr id="173" name="Рисунок 172" descr="корсика.png">
            <a:extLst>
              <a:ext uri="{FF2B5EF4-FFF2-40B4-BE49-F238E27FC236}">
                <a16:creationId xmlns="" xmlns:a16="http://schemas.microsoft.com/office/drawing/2014/main" id="{00000000-0008-0000-1600-0000A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842973" y="6250781"/>
            <a:ext cx="483690" cy="110127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256385</xdr:colOff>
      <xdr:row>9</xdr:row>
      <xdr:rowOff>23813</xdr:rowOff>
    </xdr:from>
    <xdr:to>
      <xdr:col>12</xdr:col>
      <xdr:colOff>1238250</xdr:colOff>
      <xdr:row>9</xdr:row>
      <xdr:rowOff>1135971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1600-00000E000000}"/>
            </a:ext>
          </a:extLst>
        </xdr:cNvPr>
        <xdr:cNvGrpSpPr/>
      </xdr:nvGrpSpPr>
      <xdr:grpSpPr>
        <a:xfrm>
          <a:off x="12734135" y="3194277"/>
          <a:ext cx="981865" cy="1112158"/>
          <a:chOff x="11506431" y="11615059"/>
          <a:chExt cx="1200540" cy="1364568"/>
        </a:xfrm>
      </xdr:grpSpPr>
      <xdr:pic>
        <xdr:nvPicPr>
          <xdr:cNvPr id="168" name="Рисунок 167" descr="корсика.png">
            <a:extLst>
              <a:ext uri="{FF2B5EF4-FFF2-40B4-BE49-F238E27FC236}">
                <a16:creationId xmlns="" xmlns:a16="http://schemas.microsoft.com/office/drawing/2014/main" id="{00000000-0008-0000-1600-0000A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12114246" y="11615059"/>
            <a:ext cx="592725" cy="1364568"/>
          </a:xfrm>
          <a:prstGeom prst="rect">
            <a:avLst/>
          </a:prstGeom>
        </xdr:spPr>
      </xdr:pic>
      <xdr:pic>
        <xdr:nvPicPr>
          <xdr:cNvPr id="174" name="Рисунок 173" descr="корсика.png">
            <a:extLst>
              <a:ext uri="{FF2B5EF4-FFF2-40B4-BE49-F238E27FC236}">
                <a16:creationId xmlns="" xmlns:a16="http://schemas.microsoft.com/office/drawing/2014/main" id="{00000000-0008-0000-1600-0000A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11506431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307735</xdr:colOff>
      <xdr:row>9</xdr:row>
      <xdr:rowOff>11906</xdr:rowOff>
    </xdr:from>
    <xdr:to>
      <xdr:col>13</xdr:col>
      <xdr:colOff>1178719</xdr:colOff>
      <xdr:row>9</xdr:row>
      <xdr:rowOff>1114201</xdr:rowOff>
    </xdr:to>
    <xdr:grpSp>
      <xdr:nvGrpSpPr>
        <xdr:cNvPr id="13" name="Группа 12"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GrpSpPr/>
      </xdr:nvGrpSpPr>
      <xdr:grpSpPr>
        <a:xfrm>
          <a:off x="14499985" y="3182370"/>
          <a:ext cx="870984" cy="1102295"/>
          <a:chOff x="12935164" y="11636829"/>
          <a:chExt cx="1194496" cy="1364570"/>
        </a:xfrm>
      </xdr:grpSpPr>
      <xdr:pic>
        <xdr:nvPicPr>
          <xdr:cNvPr id="169" name="Рисунок 168" descr="корсика.png">
            <a:extLst>
              <a:ext uri="{FF2B5EF4-FFF2-40B4-BE49-F238E27FC236}">
                <a16:creationId xmlns="" xmlns:a16="http://schemas.microsoft.com/office/drawing/2014/main" id="{00000000-0008-0000-1600-0000A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13536934" y="11636829"/>
            <a:ext cx="592726" cy="1364570"/>
          </a:xfrm>
          <a:prstGeom prst="rect">
            <a:avLst/>
          </a:prstGeom>
        </xdr:spPr>
      </xdr:pic>
      <xdr:pic>
        <xdr:nvPicPr>
          <xdr:cNvPr id="175" name="Рисунок 174" descr="корсика.png">
            <a:extLst>
              <a:ext uri="{FF2B5EF4-FFF2-40B4-BE49-F238E27FC236}">
                <a16:creationId xmlns="" xmlns:a16="http://schemas.microsoft.com/office/drawing/2014/main" id="{00000000-0008-0000-16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12935164" y="11636830"/>
            <a:ext cx="593506" cy="1364568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5123</xdr:colOff>
      <xdr:row>8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78283" y="67272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8</xdr:row>
      <xdr:rowOff>0</xdr:rowOff>
    </xdr:from>
    <xdr:to>
      <xdr:col>4</xdr:col>
      <xdr:colOff>735106</xdr:colOff>
      <xdr:row>9</xdr:row>
      <xdr:rowOff>525713</xdr:rowOff>
    </xdr:to>
    <xdr:pic>
      <xdr:nvPicPr>
        <xdr:cNvPr id="57" name="Рисунок 56" descr="галочка.png">
          <a:extLst>
            <a:ext uri="{FF2B5EF4-FFF2-40B4-BE49-F238E27FC236}">
              <a16:creationId xmlns="" xmlns:a16="http://schemas.microsoft.com/office/drawing/2014/main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8</xdr:row>
      <xdr:rowOff>0</xdr:rowOff>
    </xdr:from>
    <xdr:to>
      <xdr:col>4</xdr:col>
      <xdr:colOff>735106</xdr:colOff>
      <xdr:row>9</xdr:row>
      <xdr:rowOff>525713</xdr:rowOff>
    </xdr:to>
    <xdr:pic>
      <xdr:nvPicPr>
        <xdr:cNvPr id="58" name="Рисунок 57" descr="галочка.png">
          <a:extLst>
            <a:ext uri="{FF2B5EF4-FFF2-40B4-BE49-F238E27FC236}">
              <a16:creationId xmlns="" xmlns:a16="http://schemas.microsoft.com/office/drawing/2014/main" id="{00000000-0008-0000-1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8</xdr:row>
      <xdr:rowOff>0</xdr:rowOff>
    </xdr:from>
    <xdr:ext cx="5123" cy="751931"/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8</xdr:row>
      <xdr:rowOff>0</xdr:rowOff>
    </xdr:from>
    <xdr:ext cx="5123" cy="751931"/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9</xdr:col>
      <xdr:colOff>729983</xdr:colOff>
      <xdr:row>8</xdr:row>
      <xdr:rowOff>0</xdr:rowOff>
    </xdr:from>
    <xdr:to>
      <xdr:col>9</xdr:col>
      <xdr:colOff>735106</xdr:colOff>
      <xdr:row>8</xdr:row>
      <xdr:rowOff>123281</xdr:rowOff>
    </xdr:to>
    <xdr:pic>
      <xdr:nvPicPr>
        <xdr:cNvPr id="73" name="Рисунок 72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8</xdr:row>
      <xdr:rowOff>0</xdr:rowOff>
    </xdr:from>
    <xdr:to>
      <xdr:col>5</xdr:col>
      <xdr:colOff>755516</xdr:colOff>
      <xdr:row>8</xdr:row>
      <xdr:rowOff>123281</xdr:rowOff>
    </xdr:to>
    <xdr:pic>
      <xdr:nvPicPr>
        <xdr:cNvPr id="74" name="Рисунок 73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10</xdr:col>
      <xdr:colOff>71440</xdr:colOff>
      <xdr:row>9</xdr:row>
      <xdr:rowOff>35718</xdr:rowOff>
    </xdr:from>
    <xdr:to>
      <xdr:col>10</xdr:col>
      <xdr:colOff>964406</xdr:colOff>
      <xdr:row>10</xdr:row>
      <xdr:rowOff>40862</xdr:rowOff>
    </xdr:to>
    <xdr:grpSp>
      <xdr:nvGrpSpPr>
        <xdr:cNvPr id="23" name="Группа 22"/>
        <xdr:cNvGrpSpPr/>
      </xdr:nvGrpSpPr>
      <xdr:grpSpPr>
        <a:xfrm>
          <a:off x="10453690" y="3206182"/>
          <a:ext cx="892966" cy="1148144"/>
          <a:chOff x="10501314" y="6203155"/>
          <a:chExt cx="962041" cy="1160051"/>
        </a:xfrm>
      </xdr:grpSpPr>
      <xdr:pic>
        <xdr:nvPicPr>
          <xdr:cNvPr id="52" name="Рисунок 51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0293" t="268" r="54520" b="59641"/>
          <a:stretch/>
        </xdr:blipFill>
        <xdr:spPr>
          <a:xfrm>
            <a:off x="10501314" y="6213585"/>
            <a:ext cx="500062" cy="1149621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2235" t="268" r="32898" b="61903"/>
          <a:stretch/>
        </xdr:blipFill>
        <xdr:spPr>
          <a:xfrm>
            <a:off x="10989469" y="6203155"/>
            <a:ext cx="473886" cy="1095375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109408</xdr:colOff>
      <xdr:row>9</xdr:row>
      <xdr:rowOff>23812</xdr:rowOff>
    </xdr:from>
    <xdr:to>
      <xdr:col>11</xdr:col>
      <xdr:colOff>916781</xdr:colOff>
      <xdr:row>9</xdr:row>
      <xdr:rowOff>1142997</xdr:rowOff>
    </xdr:to>
    <xdr:grpSp>
      <xdr:nvGrpSpPr>
        <xdr:cNvPr id="24" name="Группа 23"/>
        <xdr:cNvGrpSpPr/>
      </xdr:nvGrpSpPr>
      <xdr:grpSpPr>
        <a:xfrm>
          <a:off x="11539408" y="3194276"/>
          <a:ext cx="807373" cy="1119185"/>
          <a:chOff x="11587033" y="6176964"/>
          <a:chExt cx="914528" cy="1169190"/>
        </a:xfrm>
      </xdr:grpSpPr>
      <xdr:pic>
        <xdr:nvPicPr>
          <xdr:cNvPr id="54" name="Рисунок 53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5568" t="-537" r="49645" b="60831"/>
          <a:stretch/>
        </xdr:blipFill>
        <xdr:spPr>
          <a:xfrm>
            <a:off x="11587033" y="6176964"/>
            <a:ext cx="473997" cy="1169190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7101" t="268" r="28032" b="61250"/>
          <a:stretch/>
        </xdr:blipFill>
        <xdr:spPr>
          <a:xfrm>
            <a:off x="12013404" y="6187707"/>
            <a:ext cx="488157" cy="1147825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8</xdr:col>
      <xdr:colOff>5123</xdr:colOff>
      <xdr:row>8</xdr:row>
      <xdr:rowOff>47081</xdr:rowOff>
    </xdr:to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0097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8</xdr:row>
      <xdr:rowOff>0</xdr:rowOff>
    </xdr:from>
    <xdr:to>
      <xdr:col>8</xdr:col>
      <xdr:colOff>735106</xdr:colOff>
      <xdr:row>8</xdr:row>
      <xdr:rowOff>123281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095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8</xdr:row>
      <xdr:rowOff>0</xdr:rowOff>
    </xdr:from>
    <xdr:to>
      <xdr:col>5</xdr:col>
      <xdr:colOff>755516</xdr:colOff>
      <xdr:row>8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490900</xdr:colOff>
      <xdr:row>1</xdr:row>
      <xdr:rowOff>199919</xdr:rowOff>
    </xdr:from>
    <xdr:to>
      <xdr:col>6</xdr:col>
      <xdr:colOff>1034141</xdr:colOff>
      <xdr:row>3</xdr:row>
      <xdr:rowOff>49523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16" t="20941" r="90493" b="4273"/>
        <a:stretch/>
      </xdr:blipFill>
      <xdr:spPr>
        <a:xfrm>
          <a:off x="4967650" y="431240"/>
          <a:ext cx="543241" cy="1223926"/>
        </a:xfrm>
        <a:prstGeom prst="rect">
          <a:avLst/>
        </a:prstGeom>
      </xdr:spPr>
    </xdr:pic>
    <xdr:clientData/>
  </xdr:twoCellAnchor>
  <xdr:twoCellAnchor editAs="oneCell">
    <xdr:from>
      <xdr:col>7</xdr:col>
      <xdr:colOff>478133</xdr:colOff>
      <xdr:row>1</xdr:row>
      <xdr:rowOff>212272</xdr:rowOff>
    </xdr:from>
    <xdr:to>
      <xdr:col>7</xdr:col>
      <xdr:colOff>993321</xdr:colOff>
      <xdr:row>3</xdr:row>
      <xdr:rowOff>40821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585" t="20902" r="68946" b="3975"/>
        <a:stretch/>
      </xdr:blipFill>
      <xdr:spPr>
        <a:xfrm>
          <a:off x="6601347" y="443593"/>
          <a:ext cx="515188" cy="1202871"/>
        </a:xfrm>
        <a:prstGeom prst="rect">
          <a:avLst/>
        </a:prstGeom>
      </xdr:spPr>
    </xdr:pic>
    <xdr:clientData/>
  </xdr:twoCellAnchor>
  <xdr:twoCellAnchor editAs="oneCell">
    <xdr:from>
      <xdr:col>8</xdr:col>
      <xdr:colOff>508909</xdr:colOff>
      <xdr:row>1</xdr:row>
      <xdr:rowOff>198664</xdr:rowOff>
    </xdr:from>
    <xdr:to>
      <xdr:col>8</xdr:col>
      <xdr:colOff>993323</xdr:colOff>
      <xdr:row>3</xdr:row>
      <xdr:rowOff>29571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23" t="20363" r="47660" b="4448"/>
        <a:stretch/>
      </xdr:blipFill>
      <xdr:spPr>
        <a:xfrm>
          <a:off x="8278588" y="429985"/>
          <a:ext cx="484414" cy="1205229"/>
        </a:xfrm>
        <a:prstGeom prst="rect">
          <a:avLst/>
        </a:prstGeom>
      </xdr:spPr>
    </xdr:pic>
    <xdr:clientData/>
  </xdr:twoCellAnchor>
  <xdr:twoCellAnchor editAs="oneCell">
    <xdr:from>
      <xdr:col>10</xdr:col>
      <xdr:colOff>249621</xdr:colOff>
      <xdr:row>1</xdr:row>
      <xdr:rowOff>229913</xdr:rowOff>
    </xdr:from>
    <xdr:to>
      <xdr:col>10</xdr:col>
      <xdr:colOff>747923</xdr:colOff>
      <xdr:row>3</xdr:row>
      <xdr:rowOff>54428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276" t="21104" r="26071" b="3240"/>
        <a:stretch/>
      </xdr:blipFill>
      <xdr:spPr>
        <a:xfrm>
          <a:off x="10713514" y="461234"/>
          <a:ext cx="498302" cy="1198837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526675</xdr:colOff>
      <xdr:row>9</xdr:row>
      <xdr:rowOff>198783</xdr:rowOff>
    </xdr:from>
    <xdr:to>
      <xdr:col>6</xdr:col>
      <xdr:colOff>1030941</xdr:colOff>
      <xdr:row>11</xdr:row>
      <xdr:rowOff>93600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643" t="20732" r="82022" b="3049"/>
        <a:stretch/>
      </xdr:blipFill>
      <xdr:spPr>
        <a:xfrm>
          <a:off x="5024132" y="4133022"/>
          <a:ext cx="504266" cy="1269730"/>
        </a:xfrm>
        <a:prstGeom prst="rect">
          <a:avLst/>
        </a:prstGeom>
      </xdr:spPr>
    </xdr:pic>
    <xdr:clientData/>
  </xdr:twoCellAnchor>
  <xdr:twoCellAnchor editAs="oneCell">
    <xdr:from>
      <xdr:col>7</xdr:col>
      <xdr:colOff>481853</xdr:colOff>
      <xdr:row>9</xdr:row>
      <xdr:rowOff>201706</xdr:rowOff>
    </xdr:from>
    <xdr:to>
      <xdr:col>7</xdr:col>
      <xdr:colOff>1019736</xdr:colOff>
      <xdr:row>11</xdr:row>
      <xdr:rowOff>173320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015" t="20000" r="60370"/>
        <a:stretch/>
      </xdr:blipFill>
      <xdr:spPr>
        <a:xfrm>
          <a:off x="6645088" y="4112559"/>
          <a:ext cx="537883" cy="1338732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9</xdr:row>
      <xdr:rowOff>207065</xdr:rowOff>
    </xdr:from>
    <xdr:to>
      <xdr:col>9</xdr:col>
      <xdr:colOff>712303</xdr:colOff>
      <xdr:row>11</xdr:row>
      <xdr:rowOff>82826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3925" t="21000" r="17632" b="3500"/>
        <a:stretch/>
      </xdr:blipFill>
      <xdr:spPr>
        <a:xfrm>
          <a:off x="9632673" y="4141304"/>
          <a:ext cx="521804" cy="1250674"/>
        </a:xfrm>
        <a:prstGeom prst="rect">
          <a:avLst/>
        </a:prstGeom>
      </xdr:spPr>
    </xdr:pic>
    <xdr:clientData/>
  </xdr:twoCellAnchor>
  <xdr:twoCellAnchor editAs="oneCell">
    <xdr:from>
      <xdr:col>10</xdr:col>
      <xdr:colOff>223632</xdr:colOff>
      <xdr:row>9</xdr:row>
      <xdr:rowOff>192328</xdr:rowOff>
    </xdr:from>
    <xdr:to>
      <xdr:col>10</xdr:col>
      <xdr:colOff>728870</xdr:colOff>
      <xdr:row>11</xdr:row>
      <xdr:rowOff>82826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338" t="20968" r="9160" b="3226"/>
        <a:stretch/>
      </xdr:blipFill>
      <xdr:spPr>
        <a:xfrm>
          <a:off x="10717697" y="4126567"/>
          <a:ext cx="505238" cy="1265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223629</xdr:colOff>
      <xdr:row>9</xdr:row>
      <xdr:rowOff>179294</xdr:rowOff>
    </xdr:from>
    <xdr:to>
      <xdr:col>11</xdr:col>
      <xdr:colOff>739588</xdr:colOff>
      <xdr:row>11</xdr:row>
      <xdr:rowOff>56030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0672" t="20213" r="916" b="4787"/>
        <a:stretch/>
      </xdr:blipFill>
      <xdr:spPr>
        <a:xfrm>
          <a:off x="11788100" y="4090147"/>
          <a:ext cx="515959" cy="1243854"/>
        </a:xfrm>
        <a:prstGeom prst="rect">
          <a:avLst/>
        </a:prstGeom>
      </xdr:spPr>
    </xdr:pic>
    <xdr:clientData/>
  </xdr:twoCellAnchor>
  <xdr:twoCellAnchor editAs="oneCell">
    <xdr:from>
      <xdr:col>8</xdr:col>
      <xdr:colOff>639536</xdr:colOff>
      <xdr:row>9</xdr:row>
      <xdr:rowOff>190499</xdr:rowOff>
    </xdr:from>
    <xdr:to>
      <xdr:col>8</xdr:col>
      <xdr:colOff>1129392</xdr:colOff>
      <xdr:row>11</xdr:row>
      <xdr:rowOff>33683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215" y="4122963"/>
          <a:ext cx="489856" cy="12175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26</xdr:row>
      <xdr:rowOff>0</xdr:rowOff>
    </xdr:from>
    <xdr:ext cx="5123" cy="47081"/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49308" y="5250900"/>
          <a:ext cx="5123" cy="470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26</xdr:row>
      <xdr:rowOff>0</xdr:rowOff>
    </xdr:from>
    <xdr:ext cx="5123" cy="142331"/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8758" y="5250900"/>
          <a:ext cx="5123" cy="142331"/>
        </a:xfrm>
        <a:prstGeom prst="rect">
          <a:avLst/>
        </a:prstGeom>
      </xdr:spPr>
    </xdr:pic>
    <xdr:clientData/>
  </xdr:oneCellAnchor>
  <xdr:twoCellAnchor>
    <xdr:from>
      <xdr:col>6</xdr:col>
      <xdr:colOff>487680</xdr:colOff>
      <xdr:row>1</xdr:row>
      <xdr:rowOff>182880</xdr:rowOff>
    </xdr:from>
    <xdr:to>
      <xdr:col>6</xdr:col>
      <xdr:colOff>973463</xdr:colOff>
      <xdr:row>3</xdr:row>
      <xdr:rowOff>36928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726305" y="409099"/>
          <a:ext cx="485783" cy="1056579"/>
        </a:xfrm>
        <a:prstGeom prst="rect">
          <a:avLst/>
        </a:prstGeom>
      </xdr:spPr>
    </xdr:pic>
    <xdr:clientData/>
  </xdr:twoCellAnchor>
  <xdr:twoCellAnchor>
    <xdr:from>
      <xdr:col>7</xdr:col>
      <xdr:colOff>480997</xdr:colOff>
      <xdr:row>1</xdr:row>
      <xdr:rowOff>182880</xdr:rowOff>
    </xdr:from>
    <xdr:to>
      <xdr:col>7</xdr:col>
      <xdr:colOff>966779</xdr:colOff>
      <xdr:row>3</xdr:row>
      <xdr:rowOff>36928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100747" y="409099"/>
          <a:ext cx="485782" cy="1056579"/>
        </a:xfrm>
        <a:prstGeom prst="rect">
          <a:avLst/>
        </a:prstGeom>
      </xdr:spPr>
    </xdr:pic>
    <xdr:clientData/>
  </xdr:twoCellAnchor>
  <xdr:twoCellAnchor>
    <xdr:from>
      <xdr:col>8</xdr:col>
      <xdr:colOff>409377</xdr:colOff>
      <xdr:row>1</xdr:row>
      <xdr:rowOff>182882</xdr:rowOff>
    </xdr:from>
    <xdr:to>
      <xdr:col>8</xdr:col>
      <xdr:colOff>895158</xdr:colOff>
      <xdr:row>3</xdr:row>
      <xdr:rowOff>36927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410252" y="409101"/>
          <a:ext cx="485781" cy="1056576"/>
        </a:xfrm>
        <a:prstGeom prst="rect">
          <a:avLst/>
        </a:prstGeom>
      </xdr:spPr>
    </xdr:pic>
    <xdr:clientData/>
  </xdr:twoCellAnchor>
  <xdr:twoCellAnchor>
    <xdr:from>
      <xdr:col>9</xdr:col>
      <xdr:colOff>359772</xdr:colOff>
      <xdr:row>1</xdr:row>
      <xdr:rowOff>182882</xdr:rowOff>
    </xdr:from>
    <xdr:to>
      <xdr:col>9</xdr:col>
      <xdr:colOff>845553</xdr:colOff>
      <xdr:row>3</xdr:row>
      <xdr:rowOff>36926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41772" y="409101"/>
          <a:ext cx="485781" cy="1056575"/>
        </a:xfrm>
        <a:prstGeom prst="rect">
          <a:avLst/>
        </a:prstGeom>
      </xdr:spPr>
    </xdr:pic>
    <xdr:clientData/>
  </xdr:twoCellAnchor>
  <xdr:twoCellAnchor>
    <xdr:from>
      <xdr:col>10</xdr:col>
      <xdr:colOff>353088</xdr:colOff>
      <xdr:row>1</xdr:row>
      <xdr:rowOff>182882</xdr:rowOff>
    </xdr:from>
    <xdr:to>
      <xdr:col>10</xdr:col>
      <xdr:colOff>838868</xdr:colOff>
      <xdr:row>3</xdr:row>
      <xdr:rowOff>36926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1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116213" y="409101"/>
          <a:ext cx="485780" cy="1056575"/>
        </a:xfrm>
        <a:prstGeom prst="rect">
          <a:avLst/>
        </a:prstGeom>
      </xdr:spPr>
    </xdr:pic>
    <xdr:clientData/>
  </xdr:twoCellAnchor>
  <xdr:twoCellAnchor>
    <xdr:from>
      <xdr:col>11</xdr:col>
      <xdr:colOff>533416</xdr:colOff>
      <xdr:row>2</xdr:row>
      <xdr:rowOff>9899</xdr:rowOff>
    </xdr:from>
    <xdr:to>
      <xdr:col>11</xdr:col>
      <xdr:colOff>1019196</xdr:colOff>
      <xdr:row>3</xdr:row>
      <xdr:rowOff>58134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677666" y="426618"/>
          <a:ext cx="485780" cy="1060266"/>
        </a:xfrm>
        <a:prstGeom prst="rect">
          <a:avLst/>
        </a:prstGeom>
      </xdr:spPr>
    </xdr:pic>
    <xdr:clientData/>
  </xdr:twoCellAnchor>
  <xdr:twoCellAnchor>
    <xdr:from>
      <xdr:col>12</xdr:col>
      <xdr:colOff>612573</xdr:colOff>
      <xdr:row>2</xdr:row>
      <xdr:rowOff>3085</xdr:rowOff>
    </xdr:from>
    <xdr:to>
      <xdr:col>12</xdr:col>
      <xdr:colOff>1098352</xdr:colOff>
      <xdr:row>3</xdr:row>
      <xdr:rowOff>47626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137948" y="419804"/>
          <a:ext cx="485779" cy="1056572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26</xdr:row>
      <xdr:rowOff>180431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26</xdr:row>
      <xdr:rowOff>180431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0" name="Рисунок 39" descr="галочка.png">
          <a:extLst>
            <a:ext uri="{FF2B5EF4-FFF2-40B4-BE49-F238E27FC236}">
              <a16:creationId xmlns="" xmlns:a16="http://schemas.microsoft.com/office/drawing/2014/main" id="{00000000-0008-0000-1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30</xdr:row>
      <xdr:rowOff>5171</xdr:rowOff>
    </xdr:to>
    <xdr:pic>
      <xdr:nvPicPr>
        <xdr:cNvPr id="42" name="Рисунок 41" descr="галочка.png">
          <a:extLst>
            <a:ext uri="{FF2B5EF4-FFF2-40B4-BE49-F238E27FC236}">
              <a16:creationId xmlns="" xmlns:a16="http://schemas.microsoft.com/office/drawing/2014/main" id="{00000000-0008-0000-1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30</xdr:row>
      <xdr:rowOff>5171</xdr:rowOff>
    </xdr:to>
    <xdr:pic>
      <xdr:nvPicPr>
        <xdr:cNvPr id="43" name="Рисунок 42" descr="галочка.png">
          <a:extLst>
            <a:ext uri="{FF2B5EF4-FFF2-40B4-BE49-F238E27FC236}">
              <a16:creationId xmlns="" xmlns:a16="http://schemas.microsoft.com/office/drawing/2014/main" id="{00000000-0008-0000-1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5" name="Рисунок 44" descr="галочка.png">
          <a:extLst>
            <a:ext uri="{FF2B5EF4-FFF2-40B4-BE49-F238E27FC236}">
              <a16:creationId xmlns="" xmlns:a16="http://schemas.microsoft.com/office/drawing/2014/main" id="{00000000-0008-0000-1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26</xdr:row>
      <xdr:rowOff>0</xdr:rowOff>
    </xdr:from>
    <xdr:to>
      <xdr:col>8</xdr:col>
      <xdr:colOff>5123</xdr:colOff>
      <xdr:row>26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26</xdr:row>
      <xdr:rowOff>0</xdr:rowOff>
    </xdr:from>
    <xdr:to>
      <xdr:col>5</xdr:col>
      <xdr:colOff>755516</xdr:colOff>
      <xdr:row>26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309563</xdr:colOff>
      <xdr:row>17</xdr:row>
      <xdr:rowOff>23811</xdr:rowOff>
    </xdr:from>
    <xdr:to>
      <xdr:col>6</xdr:col>
      <xdr:colOff>762607</xdr:colOff>
      <xdr:row>18</xdr:row>
      <xdr:rowOff>35720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548188" y="5726905"/>
          <a:ext cx="453044" cy="1023940"/>
        </a:xfrm>
        <a:prstGeom prst="rect">
          <a:avLst/>
        </a:prstGeom>
      </xdr:spPr>
    </xdr:pic>
    <xdr:clientData/>
  </xdr:twoCellAnchor>
  <xdr:twoCellAnchor>
    <xdr:from>
      <xdr:col>7</xdr:col>
      <xdr:colOff>309563</xdr:colOff>
      <xdr:row>17</xdr:row>
      <xdr:rowOff>23811</xdr:rowOff>
    </xdr:from>
    <xdr:to>
      <xdr:col>7</xdr:col>
      <xdr:colOff>762607</xdr:colOff>
      <xdr:row>18</xdr:row>
      <xdr:rowOff>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929313" y="5726905"/>
          <a:ext cx="453044" cy="988220"/>
        </a:xfrm>
        <a:prstGeom prst="rect">
          <a:avLst/>
        </a:prstGeom>
      </xdr:spPr>
    </xdr:pic>
    <xdr:clientData/>
  </xdr:twoCellAnchor>
  <xdr:twoCellAnchor>
    <xdr:from>
      <xdr:col>8</xdr:col>
      <xdr:colOff>300039</xdr:colOff>
      <xdr:row>17</xdr:row>
      <xdr:rowOff>23810</xdr:rowOff>
    </xdr:from>
    <xdr:to>
      <xdr:col>8</xdr:col>
      <xdr:colOff>753083</xdr:colOff>
      <xdr:row>17</xdr:row>
      <xdr:rowOff>1000125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300914" y="5726904"/>
          <a:ext cx="453044" cy="976315"/>
        </a:xfrm>
        <a:prstGeom prst="rect">
          <a:avLst/>
        </a:prstGeom>
      </xdr:spPr>
    </xdr:pic>
    <xdr:clientData/>
  </xdr:twoCellAnchor>
  <xdr:twoCellAnchor>
    <xdr:from>
      <xdr:col>9</xdr:col>
      <xdr:colOff>319088</xdr:colOff>
      <xdr:row>17</xdr:row>
      <xdr:rowOff>23810</xdr:rowOff>
    </xdr:from>
    <xdr:to>
      <xdr:col>9</xdr:col>
      <xdr:colOff>772131</xdr:colOff>
      <xdr:row>18</xdr:row>
      <xdr:rowOff>11906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01088" y="5726904"/>
          <a:ext cx="453043" cy="1000127"/>
        </a:xfrm>
        <a:prstGeom prst="rect">
          <a:avLst/>
        </a:prstGeom>
      </xdr:spPr>
    </xdr:pic>
    <xdr:clientData/>
  </xdr:twoCellAnchor>
  <xdr:twoCellAnchor>
    <xdr:from>
      <xdr:col>10</xdr:col>
      <xdr:colOff>319088</xdr:colOff>
      <xdr:row>17</xdr:row>
      <xdr:rowOff>23812</xdr:rowOff>
    </xdr:from>
    <xdr:to>
      <xdr:col>10</xdr:col>
      <xdr:colOff>772131</xdr:colOff>
      <xdr:row>17</xdr:row>
      <xdr:rowOff>988218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082213" y="5726906"/>
          <a:ext cx="453043" cy="964406"/>
        </a:xfrm>
        <a:prstGeom prst="rect">
          <a:avLst/>
        </a:prstGeom>
      </xdr:spPr>
    </xdr:pic>
    <xdr:clientData/>
  </xdr:twoCellAnchor>
  <xdr:twoCellAnchor>
    <xdr:from>
      <xdr:col>11</xdr:col>
      <xdr:colOff>357187</xdr:colOff>
      <xdr:row>16</xdr:row>
      <xdr:rowOff>161596</xdr:rowOff>
    </xdr:from>
    <xdr:to>
      <xdr:col>11</xdr:col>
      <xdr:colOff>845344</xdr:colOff>
      <xdr:row>18</xdr:row>
      <xdr:rowOff>24518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501437" y="5674190"/>
          <a:ext cx="488157" cy="1065453"/>
        </a:xfrm>
        <a:prstGeom prst="rect">
          <a:avLst/>
        </a:prstGeom>
      </xdr:spPr>
    </xdr:pic>
    <xdr:clientData/>
  </xdr:twoCellAnchor>
  <xdr:twoCellAnchor>
    <xdr:from>
      <xdr:col>12</xdr:col>
      <xdr:colOff>436345</xdr:colOff>
      <xdr:row>16</xdr:row>
      <xdr:rowOff>154781</xdr:rowOff>
    </xdr:from>
    <xdr:to>
      <xdr:col>12</xdr:col>
      <xdr:colOff>924501</xdr:colOff>
      <xdr:row>18</xdr:row>
      <xdr:rowOff>13991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2961720" y="5667375"/>
          <a:ext cx="488156" cy="10617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632395</xdr:colOff>
      <xdr:row>17</xdr:row>
      <xdr:rowOff>47625</xdr:rowOff>
    </xdr:from>
    <xdr:to>
      <xdr:col>6</xdr:col>
      <xdr:colOff>1060763</xdr:colOff>
      <xdr:row>18</xdr:row>
      <xdr:rowOff>4763</xdr:rowOff>
    </xdr:to>
    <xdr:pic>
      <xdr:nvPicPr>
        <xdr:cNvPr id="14" name="Рисунок 13" descr="корсика.png">
          <a:extLst>
            <a:ext uri="{FF2B5EF4-FFF2-40B4-BE49-F238E27FC236}">
              <a16:creationId xmlns=""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1020" y="6322219"/>
          <a:ext cx="428368" cy="1100138"/>
        </a:xfrm>
        <a:prstGeom prst="rect">
          <a:avLst/>
        </a:prstGeom>
      </xdr:spPr>
    </xdr:pic>
    <xdr:clientData/>
  </xdr:twoCellAnchor>
  <xdr:twoCellAnchor>
    <xdr:from>
      <xdr:col>7</xdr:col>
      <xdr:colOff>706864</xdr:colOff>
      <xdr:row>17</xdr:row>
      <xdr:rowOff>47625</xdr:rowOff>
    </xdr:from>
    <xdr:to>
      <xdr:col>7</xdr:col>
      <xdr:colOff>1135232</xdr:colOff>
      <xdr:row>18</xdr:row>
      <xdr:rowOff>4761</xdr:rowOff>
    </xdr:to>
    <xdr:pic>
      <xdr:nvPicPr>
        <xdr:cNvPr id="15" name="Рисунок 14" descr="корсика.png">
          <a:extLst>
            <a:ext uri="{FF2B5EF4-FFF2-40B4-BE49-F238E27FC236}">
              <a16:creationId xmlns=""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59989" y="6322219"/>
          <a:ext cx="428368" cy="1100136"/>
        </a:xfrm>
        <a:prstGeom prst="rect">
          <a:avLst/>
        </a:prstGeom>
      </xdr:spPr>
    </xdr:pic>
    <xdr:clientData/>
  </xdr:twoCellAnchor>
  <xdr:twoCellAnchor>
    <xdr:from>
      <xdr:col>8</xdr:col>
      <xdr:colOff>328895</xdr:colOff>
      <xdr:row>17</xdr:row>
      <xdr:rowOff>59532</xdr:rowOff>
    </xdr:from>
    <xdr:to>
      <xdr:col>8</xdr:col>
      <xdr:colOff>757262</xdr:colOff>
      <xdr:row>18</xdr:row>
      <xdr:rowOff>16668</xdr:rowOff>
    </xdr:to>
    <xdr:pic>
      <xdr:nvPicPr>
        <xdr:cNvPr id="16" name="Рисунок 15" descr="корсика.png">
          <a:extLst>
            <a:ext uri="{FF2B5EF4-FFF2-40B4-BE49-F238E27FC236}">
              <a16:creationId xmlns=""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96520" y="5655470"/>
          <a:ext cx="428367" cy="1100136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17</xdr:row>
      <xdr:rowOff>0</xdr:rowOff>
    </xdr:from>
    <xdr:to>
      <xdr:col>4</xdr:col>
      <xdr:colOff>735106</xdr:colOff>
      <xdr:row>17</xdr:row>
      <xdr:rowOff>47081</xdr:rowOff>
    </xdr:to>
    <xdr:pic>
      <xdr:nvPicPr>
        <xdr:cNvPr id="23" name="Рисунок 22" descr="галочка.png">
          <a:extLst>
            <a:ext uri="{FF2B5EF4-FFF2-40B4-BE49-F238E27FC236}">
              <a16:creationId xmlns=""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490538</xdr:colOff>
      <xdr:row>2</xdr:row>
      <xdr:rowOff>11906</xdr:rowOff>
    </xdr:from>
    <xdr:to>
      <xdr:col>6</xdr:col>
      <xdr:colOff>884834</xdr:colOff>
      <xdr:row>3</xdr:row>
      <xdr:rowOff>2829</xdr:rowOff>
    </xdr:to>
    <xdr:pic>
      <xdr:nvPicPr>
        <xdr:cNvPr id="35" name="Рисунок 34" descr="корсика.png">
          <a:extLst>
            <a:ext uri="{FF2B5EF4-FFF2-40B4-BE49-F238E27FC236}">
              <a16:creationId xmlns="" xmlns:a16="http://schemas.microsoft.com/office/drawing/2014/main" id="{00000000-0008-0000-1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29163" y="428625"/>
          <a:ext cx="394296" cy="1002954"/>
        </a:xfrm>
        <a:prstGeom prst="rect">
          <a:avLst/>
        </a:prstGeom>
      </xdr:spPr>
    </xdr:pic>
    <xdr:clientData/>
  </xdr:twoCellAnchor>
  <xdr:twoCellAnchor>
    <xdr:from>
      <xdr:col>7</xdr:col>
      <xdr:colOff>482190</xdr:colOff>
      <xdr:row>1</xdr:row>
      <xdr:rowOff>178593</xdr:rowOff>
    </xdr:from>
    <xdr:to>
      <xdr:col>7</xdr:col>
      <xdr:colOff>977933</xdr:colOff>
      <xdr:row>3</xdr:row>
      <xdr:rowOff>15974</xdr:rowOff>
    </xdr:to>
    <xdr:pic>
      <xdr:nvPicPr>
        <xdr:cNvPr id="36" name="Рисунок 35" descr="корсика.png">
          <a:extLst>
            <a:ext uri="{FF2B5EF4-FFF2-40B4-BE49-F238E27FC236}">
              <a16:creationId xmlns="" xmlns:a16="http://schemas.microsoft.com/office/drawing/2014/main" id="{00000000-0008-0000-1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35315" y="404812"/>
          <a:ext cx="495743" cy="1039912"/>
        </a:xfrm>
        <a:prstGeom prst="rect">
          <a:avLst/>
        </a:prstGeom>
      </xdr:spPr>
    </xdr:pic>
    <xdr:clientData/>
  </xdr:twoCellAnchor>
  <xdr:twoCellAnchor>
    <xdr:from>
      <xdr:col>8</xdr:col>
      <xdr:colOff>1077101</xdr:colOff>
      <xdr:row>2</xdr:row>
      <xdr:rowOff>11906</xdr:rowOff>
    </xdr:from>
    <xdr:to>
      <xdr:col>9</xdr:col>
      <xdr:colOff>243919</xdr:colOff>
      <xdr:row>3</xdr:row>
      <xdr:rowOff>4459</xdr:rowOff>
    </xdr:to>
    <xdr:pic>
      <xdr:nvPicPr>
        <xdr:cNvPr id="37" name="Рисунок 36" descr="корсика.png">
          <a:extLst>
            <a:ext uri="{FF2B5EF4-FFF2-40B4-BE49-F238E27FC236}">
              <a16:creationId xmlns="" xmlns:a16="http://schemas.microsoft.com/office/drawing/2014/main" id="{00000000-0008-0000-1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44726" y="428625"/>
          <a:ext cx="476506" cy="1004584"/>
        </a:xfrm>
        <a:prstGeom prst="rect">
          <a:avLst/>
        </a:prstGeom>
      </xdr:spPr>
    </xdr:pic>
    <xdr:clientData/>
  </xdr:twoCellAnchor>
  <xdr:twoCellAnchor>
    <xdr:from>
      <xdr:col>10</xdr:col>
      <xdr:colOff>1111625</xdr:colOff>
      <xdr:row>1</xdr:row>
      <xdr:rowOff>166687</xdr:rowOff>
    </xdr:from>
    <xdr:to>
      <xdr:col>11</xdr:col>
      <xdr:colOff>290123</xdr:colOff>
      <xdr:row>2</xdr:row>
      <xdr:rowOff>1008173</xdr:rowOff>
    </xdr:to>
    <xdr:pic>
      <xdr:nvPicPr>
        <xdr:cNvPr id="38" name="Рисунок 37" descr="корсика.png">
          <a:extLst>
            <a:ext uri="{FF2B5EF4-FFF2-40B4-BE49-F238E27FC236}">
              <a16:creationId xmlns="" xmlns:a16="http://schemas.microsoft.com/office/drawing/2014/main" id="{00000000-0008-0000-1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398625" y="392906"/>
          <a:ext cx="488186" cy="103198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17</xdr:row>
      <xdr:rowOff>0</xdr:rowOff>
    </xdr:from>
    <xdr:to>
      <xdr:col>8</xdr:col>
      <xdr:colOff>735106</xdr:colOff>
      <xdr:row>17</xdr:row>
      <xdr:rowOff>123281</xdr:rowOff>
    </xdr:to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11</xdr:col>
      <xdr:colOff>607219</xdr:colOff>
      <xdr:row>17</xdr:row>
      <xdr:rowOff>47625</xdr:rowOff>
    </xdr:from>
    <xdr:to>
      <xdr:col>11</xdr:col>
      <xdr:colOff>1062079</xdr:colOff>
      <xdr:row>18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78030" r="15703" b="21198"/>
        <a:stretch/>
      </xdr:blipFill>
      <xdr:spPr>
        <a:xfrm>
          <a:off x="12084844" y="6322219"/>
          <a:ext cx="454860" cy="1095375"/>
        </a:xfrm>
        <a:prstGeom prst="rect">
          <a:avLst/>
        </a:prstGeom>
      </xdr:spPr>
    </xdr:pic>
    <xdr:clientData/>
  </xdr:twoCellAnchor>
  <xdr:twoCellAnchor>
    <xdr:from>
      <xdr:col>9</xdr:col>
      <xdr:colOff>23812</xdr:colOff>
      <xdr:row>17</xdr:row>
      <xdr:rowOff>23813</xdr:rowOff>
    </xdr:from>
    <xdr:to>
      <xdr:col>9</xdr:col>
      <xdr:colOff>1012031</xdr:colOff>
      <xdr:row>18</xdr:row>
      <xdr:rowOff>11907</xdr:rowOff>
    </xdr:to>
    <xdr:grpSp>
      <xdr:nvGrpSpPr>
        <xdr:cNvPr id="2" name="Группа 1"/>
        <xdr:cNvGrpSpPr/>
      </xdr:nvGrpSpPr>
      <xdr:grpSpPr>
        <a:xfrm>
          <a:off x="9001125" y="4798219"/>
          <a:ext cx="988219" cy="1131094"/>
          <a:chOff x="15490030" y="7608094"/>
          <a:chExt cx="1214441" cy="1440655"/>
        </a:xfrm>
      </xdr:grpSpPr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1446" r="52287" b="19862"/>
          <a:stretch/>
        </xdr:blipFill>
        <xdr:spPr>
          <a:xfrm>
            <a:off x="15490030" y="7620000"/>
            <a:ext cx="583406" cy="1428749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7841" r="45763" b="21198"/>
          <a:stretch/>
        </xdr:blipFill>
        <xdr:spPr>
          <a:xfrm>
            <a:off x="16109157" y="7608094"/>
            <a:ext cx="595314" cy="140493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380637</xdr:colOff>
      <xdr:row>17</xdr:row>
      <xdr:rowOff>23007</xdr:rowOff>
    </xdr:from>
    <xdr:to>
      <xdr:col>10</xdr:col>
      <xdr:colOff>1203614</xdr:colOff>
      <xdr:row>17</xdr:row>
      <xdr:rowOff>1135422</xdr:rowOff>
    </xdr:to>
    <xdr:grpSp>
      <xdr:nvGrpSpPr>
        <xdr:cNvPr id="4" name="Группа 3"/>
        <xdr:cNvGrpSpPr/>
      </xdr:nvGrpSpPr>
      <xdr:grpSpPr>
        <a:xfrm>
          <a:off x="10667637" y="4797413"/>
          <a:ext cx="822977" cy="1112415"/>
          <a:chOff x="10684955" y="5651416"/>
          <a:chExt cx="822977" cy="1112415"/>
        </a:xfrm>
      </xdr:grpSpPr>
      <xdr:pic>
        <xdr:nvPicPr>
          <xdr:cNvPr id="17" name="Рисунок 16" descr="корсика.png">
            <a:extLst>
              <a:ext uri="{FF2B5EF4-FFF2-40B4-BE49-F238E27FC236}">
                <a16:creationId xmlns="" xmlns:a16="http://schemas.microsoft.com/office/drawing/2014/main" id="{00000000-0008-0000-14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10684955" y="5661962"/>
            <a:ext cx="385754" cy="1101495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71250" r="22482" b="20530"/>
          <a:stretch/>
        </xdr:blipFill>
        <xdr:spPr>
          <a:xfrm>
            <a:off x="11095953" y="5651416"/>
            <a:ext cx="411979" cy="111241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413058</xdr:colOff>
      <xdr:row>1</xdr:row>
      <xdr:rowOff>193255</xdr:rowOff>
    </xdr:from>
    <xdr:to>
      <xdr:col>6</xdr:col>
      <xdr:colOff>870832</xdr:colOff>
      <xdr:row>3</xdr:row>
      <xdr:rowOff>12439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651683" y="419474"/>
          <a:ext cx="457774" cy="1057434"/>
        </a:xfrm>
        <a:prstGeom prst="rect">
          <a:avLst/>
        </a:prstGeom>
      </xdr:spPr>
    </xdr:pic>
    <xdr:clientData/>
  </xdr:twoCellAnchor>
  <xdr:twoCellAnchor>
    <xdr:from>
      <xdr:col>7</xdr:col>
      <xdr:colOff>415616</xdr:colOff>
      <xdr:row>1</xdr:row>
      <xdr:rowOff>193255</xdr:rowOff>
    </xdr:from>
    <xdr:to>
      <xdr:col>7</xdr:col>
      <xdr:colOff>873389</xdr:colOff>
      <xdr:row>3</xdr:row>
      <xdr:rowOff>12439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035366" y="419474"/>
          <a:ext cx="457773" cy="1057434"/>
        </a:xfrm>
        <a:prstGeom prst="rect">
          <a:avLst/>
        </a:prstGeom>
      </xdr:spPr>
    </xdr:pic>
    <xdr:clientData/>
  </xdr:twoCellAnchor>
  <xdr:twoCellAnchor>
    <xdr:from>
      <xdr:col>8</xdr:col>
      <xdr:colOff>361936</xdr:colOff>
      <xdr:row>1</xdr:row>
      <xdr:rowOff>193256</xdr:rowOff>
    </xdr:from>
    <xdr:to>
      <xdr:col>8</xdr:col>
      <xdr:colOff>819708</xdr:colOff>
      <xdr:row>3</xdr:row>
      <xdr:rowOff>12438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362811" y="419475"/>
          <a:ext cx="457772" cy="1057432"/>
        </a:xfrm>
        <a:prstGeom prst="rect">
          <a:avLst/>
        </a:prstGeom>
      </xdr:spPr>
    </xdr:pic>
    <xdr:clientData/>
  </xdr:twoCellAnchor>
  <xdr:twoCellAnchor>
    <xdr:from>
      <xdr:col>9</xdr:col>
      <xdr:colOff>321170</xdr:colOff>
      <xdr:row>1</xdr:row>
      <xdr:rowOff>193257</xdr:rowOff>
    </xdr:from>
    <xdr:to>
      <xdr:col>9</xdr:col>
      <xdr:colOff>778942</xdr:colOff>
      <xdr:row>3</xdr:row>
      <xdr:rowOff>12437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03170" y="419476"/>
          <a:ext cx="457772" cy="1057430"/>
        </a:xfrm>
        <a:prstGeom prst="rect">
          <a:avLst/>
        </a:prstGeom>
      </xdr:spPr>
    </xdr:pic>
    <xdr:clientData/>
  </xdr:twoCellAnchor>
  <xdr:twoCellAnchor>
    <xdr:from>
      <xdr:col>10</xdr:col>
      <xdr:colOff>323729</xdr:colOff>
      <xdr:row>1</xdr:row>
      <xdr:rowOff>193257</xdr:rowOff>
    </xdr:from>
    <xdr:to>
      <xdr:col>10</xdr:col>
      <xdr:colOff>781500</xdr:colOff>
      <xdr:row>3</xdr:row>
      <xdr:rowOff>12437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086854" y="419476"/>
          <a:ext cx="457771" cy="1057430"/>
        </a:xfrm>
        <a:prstGeom prst="rect">
          <a:avLst/>
        </a:prstGeom>
      </xdr:spPr>
    </xdr:pic>
    <xdr:clientData/>
  </xdr:twoCellAnchor>
  <xdr:twoCellAnchor>
    <xdr:from>
      <xdr:col>11</xdr:col>
      <xdr:colOff>515057</xdr:colOff>
      <xdr:row>1</xdr:row>
      <xdr:rowOff>216010</xdr:rowOff>
    </xdr:from>
    <xdr:to>
      <xdr:col>11</xdr:col>
      <xdr:colOff>972828</xdr:colOff>
      <xdr:row>3</xdr:row>
      <xdr:rowOff>35187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659307" y="442229"/>
          <a:ext cx="457771" cy="1057427"/>
        </a:xfrm>
        <a:prstGeom prst="rect">
          <a:avLst/>
        </a:prstGeom>
      </xdr:spPr>
    </xdr:pic>
    <xdr:clientData/>
  </xdr:twoCellAnchor>
  <xdr:twoCellAnchor>
    <xdr:from>
      <xdr:col>12</xdr:col>
      <xdr:colOff>604265</xdr:colOff>
      <xdr:row>1</xdr:row>
      <xdr:rowOff>204634</xdr:rowOff>
    </xdr:from>
    <xdr:to>
      <xdr:col>12</xdr:col>
      <xdr:colOff>1062035</xdr:colOff>
      <xdr:row>3</xdr:row>
      <xdr:rowOff>23811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129640" y="430853"/>
          <a:ext cx="457770" cy="105742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17</xdr:row>
      <xdr:rowOff>142875</xdr:rowOff>
    </xdr:from>
    <xdr:to>
      <xdr:col>6</xdr:col>
      <xdr:colOff>805657</xdr:colOff>
      <xdr:row>19</xdr:row>
      <xdr:rowOff>93972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410200" y="13335000"/>
          <a:ext cx="529432" cy="1322697"/>
        </a:xfrm>
        <a:prstGeom prst="rect">
          <a:avLst/>
        </a:prstGeom>
      </xdr:spPr>
    </xdr:pic>
    <xdr:clientData/>
  </xdr:twoCellAnchor>
  <xdr:twoCellAnchor>
    <xdr:from>
      <xdr:col>7</xdr:col>
      <xdr:colOff>276225</xdr:colOff>
      <xdr:row>17</xdr:row>
      <xdr:rowOff>142876</xdr:rowOff>
    </xdr:from>
    <xdr:to>
      <xdr:col>7</xdr:col>
      <xdr:colOff>805657</xdr:colOff>
      <xdr:row>19</xdr:row>
      <xdr:rowOff>93970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505575" y="13335001"/>
          <a:ext cx="529432" cy="1322694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17</xdr:row>
      <xdr:rowOff>142877</xdr:rowOff>
    </xdr:from>
    <xdr:to>
      <xdr:col>8</xdr:col>
      <xdr:colOff>796131</xdr:colOff>
      <xdr:row>19</xdr:row>
      <xdr:rowOff>93969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686800" y="13335002"/>
          <a:ext cx="529431" cy="1322692"/>
        </a:xfrm>
        <a:prstGeom prst="rect">
          <a:avLst/>
        </a:prstGeom>
      </xdr:spPr>
    </xdr:pic>
    <xdr:clientData/>
  </xdr:twoCellAnchor>
  <xdr:twoCellAnchor>
    <xdr:from>
      <xdr:col>9</xdr:col>
      <xdr:colOff>285750</xdr:colOff>
      <xdr:row>17</xdr:row>
      <xdr:rowOff>142877</xdr:rowOff>
    </xdr:from>
    <xdr:to>
      <xdr:col>9</xdr:col>
      <xdr:colOff>815180</xdr:colOff>
      <xdr:row>19</xdr:row>
      <xdr:rowOff>93969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9801225" y="13335002"/>
          <a:ext cx="529430" cy="1322692"/>
        </a:xfrm>
        <a:prstGeom prst="rect">
          <a:avLst/>
        </a:prstGeom>
      </xdr:spPr>
    </xdr:pic>
    <xdr:clientData/>
  </xdr:twoCellAnchor>
  <xdr:twoCellAnchor>
    <xdr:from>
      <xdr:col>10</xdr:col>
      <xdr:colOff>285750</xdr:colOff>
      <xdr:row>17</xdr:row>
      <xdr:rowOff>142878</xdr:rowOff>
    </xdr:from>
    <xdr:to>
      <xdr:col>10</xdr:col>
      <xdr:colOff>815180</xdr:colOff>
      <xdr:row>19</xdr:row>
      <xdr:rowOff>93967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896600" y="13335003"/>
          <a:ext cx="529430" cy="1322689"/>
        </a:xfrm>
        <a:prstGeom prst="rect">
          <a:avLst/>
        </a:prstGeom>
      </xdr:spPr>
    </xdr:pic>
    <xdr:clientData/>
  </xdr:twoCellAnchor>
  <xdr:twoCellAnchor>
    <xdr:from>
      <xdr:col>11</xdr:col>
      <xdr:colOff>454025</xdr:colOff>
      <xdr:row>17</xdr:row>
      <xdr:rowOff>180978</xdr:rowOff>
    </xdr:from>
    <xdr:to>
      <xdr:col>11</xdr:col>
      <xdr:colOff>983455</xdr:colOff>
      <xdr:row>19</xdr:row>
      <xdr:rowOff>132067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382625" y="10671178"/>
          <a:ext cx="529430" cy="1322689"/>
        </a:xfrm>
        <a:prstGeom prst="rect">
          <a:avLst/>
        </a:prstGeom>
      </xdr:spPr>
    </xdr:pic>
    <xdr:clientData/>
  </xdr:twoCellAnchor>
  <xdr:twoCellAnchor>
    <xdr:from>
      <xdr:col>12</xdr:col>
      <xdr:colOff>415925</xdr:colOff>
      <xdr:row>17</xdr:row>
      <xdr:rowOff>168278</xdr:rowOff>
    </xdr:from>
    <xdr:to>
      <xdr:col>12</xdr:col>
      <xdr:colOff>945354</xdr:colOff>
      <xdr:row>19</xdr:row>
      <xdr:rowOff>119367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4766925" y="10658478"/>
          <a:ext cx="529429" cy="13226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5123</xdr:colOff>
      <xdr:row>17</xdr:row>
      <xdr:rowOff>123281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8</xdr:row>
      <xdr:rowOff>0</xdr:rowOff>
    </xdr:from>
    <xdr:to>
      <xdr:col>7</xdr:col>
      <xdr:colOff>735106</xdr:colOff>
      <xdr:row>8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8</xdr:row>
      <xdr:rowOff>0</xdr:rowOff>
    </xdr:from>
    <xdr:to>
      <xdr:col>5</xdr:col>
      <xdr:colOff>755516</xdr:colOff>
      <xdr:row>8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639219</xdr:colOff>
      <xdr:row>1</xdr:row>
      <xdr:rowOff>107154</xdr:rowOff>
    </xdr:from>
    <xdr:to>
      <xdr:col>6</xdr:col>
      <xdr:colOff>1166811</xdr:colOff>
      <xdr:row>3</xdr:row>
      <xdr:rowOff>20450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14" t="22152" r="92385"/>
        <a:stretch/>
      </xdr:blipFill>
      <xdr:spPr>
        <a:xfrm>
          <a:off x="4585290" y="338475"/>
          <a:ext cx="527592" cy="1246796"/>
        </a:xfrm>
        <a:prstGeom prst="rect">
          <a:avLst/>
        </a:prstGeom>
      </xdr:spPr>
    </xdr:pic>
    <xdr:clientData/>
  </xdr:twoCellAnchor>
  <xdr:twoCellAnchor editAs="oneCell">
    <xdr:from>
      <xdr:col>7</xdr:col>
      <xdr:colOff>615408</xdr:colOff>
      <xdr:row>1</xdr:row>
      <xdr:rowOff>119063</xdr:rowOff>
    </xdr:from>
    <xdr:to>
      <xdr:col>7</xdr:col>
      <xdr:colOff>1142999</xdr:colOff>
      <xdr:row>3</xdr:row>
      <xdr:rowOff>44991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122" t="22719" r="74842"/>
        <a:stretch/>
      </xdr:blipFill>
      <xdr:spPr>
        <a:xfrm>
          <a:off x="6207944" y="350384"/>
          <a:ext cx="527591" cy="1259428"/>
        </a:xfrm>
        <a:prstGeom prst="rect">
          <a:avLst/>
        </a:prstGeom>
      </xdr:spPr>
    </xdr:pic>
    <xdr:clientData/>
  </xdr:twoCellAnchor>
  <xdr:twoCellAnchor editAs="oneCell">
    <xdr:from>
      <xdr:col>9</xdr:col>
      <xdr:colOff>294094</xdr:colOff>
      <xdr:row>1</xdr:row>
      <xdr:rowOff>132671</xdr:rowOff>
    </xdr:from>
    <xdr:to>
      <xdr:col>10</xdr:col>
      <xdr:colOff>529455</xdr:colOff>
      <xdr:row>3</xdr:row>
      <xdr:rowOff>74183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299" t="22369" r="32695"/>
        <a:stretch/>
      </xdr:blipFill>
      <xdr:spPr>
        <a:xfrm>
          <a:off x="8199844" y="363992"/>
          <a:ext cx="529455" cy="1275012"/>
        </a:xfrm>
        <a:prstGeom prst="rect">
          <a:avLst/>
        </a:prstGeom>
      </xdr:spPr>
    </xdr:pic>
    <xdr:clientData/>
  </xdr:twoCellAnchor>
  <xdr:twoCellAnchor editAs="oneCell">
    <xdr:from>
      <xdr:col>8</xdr:col>
      <xdr:colOff>349343</xdr:colOff>
      <xdr:row>1</xdr:row>
      <xdr:rowOff>130969</xdr:rowOff>
    </xdr:from>
    <xdr:to>
      <xdr:col>8</xdr:col>
      <xdr:colOff>888635</xdr:colOff>
      <xdr:row>3</xdr:row>
      <xdr:rowOff>83472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320" t="23457" r="56704"/>
        <a:stretch/>
      </xdr:blipFill>
      <xdr:spPr>
        <a:xfrm>
          <a:off x="7588343" y="362290"/>
          <a:ext cx="539292" cy="1286003"/>
        </a:xfrm>
        <a:prstGeom prst="rect">
          <a:avLst/>
        </a:prstGeom>
      </xdr:spPr>
    </xdr:pic>
    <xdr:clientData/>
  </xdr:twoCellAnchor>
  <xdr:twoCellAnchor editAs="oneCell">
    <xdr:from>
      <xdr:col>11</xdr:col>
      <xdr:colOff>720993</xdr:colOff>
      <xdr:row>1</xdr:row>
      <xdr:rowOff>120765</xdr:rowOff>
    </xdr:from>
    <xdr:to>
      <xdr:col>12</xdr:col>
      <xdr:colOff>131463</xdr:colOff>
      <xdr:row>3</xdr:row>
      <xdr:rowOff>54429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030" t="22222" r="15010"/>
        <a:stretch/>
      </xdr:blipFill>
      <xdr:spPr>
        <a:xfrm>
          <a:off x="10395672" y="352086"/>
          <a:ext cx="512648" cy="12671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8</xdr:row>
      <xdr:rowOff>35720</xdr:rowOff>
    </xdr:from>
    <xdr:to>
      <xdr:col>6</xdr:col>
      <xdr:colOff>1021925</xdr:colOff>
      <xdr:row>9</xdr:row>
      <xdr:rowOff>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739" t="22353" r="85229"/>
        <a:stretch/>
      </xdr:blipFill>
      <xdr:spPr>
        <a:xfrm>
          <a:off x="4443132" y="3419896"/>
          <a:ext cx="545675" cy="1308986"/>
        </a:xfrm>
        <a:prstGeom prst="rect">
          <a:avLst/>
        </a:prstGeom>
      </xdr:spPr>
    </xdr:pic>
    <xdr:clientData/>
  </xdr:twoCellAnchor>
  <xdr:twoCellAnchor editAs="oneCell">
    <xdr:from>
      <xdr:col>7</xdr:col>
      <xdr:colOff>542786</xdr:colOff>
      <xdr:row>8</xdr:row>
      <xdr:rowOff>28575</xdr:rowOff>
    </xdr:from>
    <xdr:to>
      <xdr:col>7</xdr:col>
      <xdr:colOff>1110118</xdr:colOff>
      <xdr:row>9</xdr:row>
      <xdr:rowOff>11206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245" t="21739" r="67668"/>
        <a:stretch/>
      </xdr:blipFill>
      <xdr:spPr>
        <a:xfrm>
          <a:off x="6156933" y="3412751"/>
          <a:ext cx="567332" cy="1327337"/>
        </a:xfrm>
        <a:prstGeom prst="rect">
          <a:avLst/>
        </a:prstGeom>
      </xdr:spPr>
    </xdr:pic>
    <xdr:clientData/>
  </xdr:twoCellAnchor>
  <xdr:twoCellAnchor editAs="oneCell">
    <xdr:from>
      <xdr:col>8</xdr:col>
      <xdr:colOff>480932</xdr:colOff>
      <xdr:row>8</xdr:row>
      <xdr:rowOff>28578</xdr:rowOff>
    </xdr:from>
    <xdr:to>
      <xdr:col>10</xdr:col>
      <xdr:colOff>40821</xdr:colOff>
      <xdr:row>8</xdr:row>
      <xdr:rowOff>1322298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7113" t="21949" r="25932" b="1128"/>
        <a:stretch/>
      </xdr:blipFill>
      <xdr:spPr>
        <a:xfrm>
          <a:off x="8141753" y="3702507"/>
          <a:ext cx="539604" cy="1293720"/>
        </a:xfrm>
        <a:prstGeom prst="rect">
          <a:avLst/>
        </a:prstGeom>
      </xdr:spPr>
    </xdr:pic>
    <xdr:clientData/>
  </xdr:twoCellAnchor>
  <xdr:twoCellAnchor editAs="oneCell">
    <xdr:from>
      <xdr:col>7</xdr:col>
      <xdr:colOff>1783096</xdr:colOff>
      <xdr:row>8</xdr:row>
      <xdr:rowOff>34739</xdr:rowOff>
    </xdr:from>
    <xdr:to>
      <xdr:col>8</xdr:col>
      <xdr:colOff>398608</xdr:colOff>
      <xdr:row>9</xdr:row>
      <xdr:rowOff>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3094" t="22930" r="49985"/>
        <a:stretch/>
      </xdr:blipFill>
      <xdr:spPr>
        <a:xfrm>
          <a:off x="7606953" y="3708668"/>
          <a:ext cx="520512" cy="1312368"/>
        </a:xfrm>
        <a:prstGeom prst="rect">
          <a:avLst/>
        </a:prstGeom>
      </xdr:spPr>
    </xdr:pic>
    <xdr:clientData/>
  </xdr:twoCellAnchor>
  <xdr:twoCellAnchor editAs="oneCell">
    <xdr:from>
      <xdr:col>10</xdr:col>
      <xdr:colOff>245404</xdr:colOff>
      <xdr:row>8</xdr:row>
      <xdr:rowOff>11607</xdr:rowOff>
    </xdr:from>
    <xdr:to>
      <xdr:col>10</xdr:col>
      <xdr:colOff>772582</xdr:colOff>
      <xdr:row>8</xdr:row>
      <xdr:rowOff>1333500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0177" t="22360" r="43074"/>
        <a:stretch/>
      </xdr:blipFill>
      <xdr:spPr>
        <a:xfrm>
          <a:off x="8885940" y="3685536"/>
          <a:ext cx="527178" cy="1321893"/>
        </a:xfrm>
        <a:prstGeom prst="rect">
          <a:avLst/>
        </a:prstGeom>
      </xdr:spPr>
    </xdr:pic>
    <xdr:clientData/>
  </xdr:twoCellAnchor>
  <xdr:twoCellAnchor editAs="oneCell">
    <xdr:from>
      <xdr:col>11</xdr:col>
      <xdr:colOff>357868</xdr:colOff>
      <xdr:row>8</xdr:row>
      <xdr:rowOff>38101</xdr:rowOff>
    </xdr:from>
    <xdr:to>
      <xdr:col>11</xdr:col>
      <xdr:colOff>910878</xdr:colOff>
      <xdr:row>9</xdr:row>
      <xdr:rowOff>4611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4854" t="22467" r="8031"/>
        <a:stretch/>
      </xdr:blipFill>
      <xdr:spPr>
        <a:xfrm>
          <a:off x="10032547" y="3712030"/>
          <a:ext cx="553010" cy="1313617"/>
        </a:xfrm>
        <a:prstGeom prst="rect">
          <a:avLst/>
        </a:prstGeom>
      </xdr:spPr>
    </xdr:pic>
    <xdr:clientData/>
  </xdr:twoCellAnchor>
  <xdr:twoCellAnchor editAs="oneCell">
    <xdr:from>
      <xdr:col>12</xdr:col>
      <xdr:colOff>54042</xdr:colOff>
      <xdr:row>8</xdr:row>
      <xdr:rowOff>38099</xdr:rowOff>
    </xdr:from>
    <xdr:to>
      <xdr:col>12</xdr:col>
      <xdr:colOff>576683</xdr:colOff>
      <xdr:row>9</xdr:row>
      <xdr:rowOff>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2063" t="22941" r="1161"/>
        <a:stretch/>
      </xdr:blipFill>
      <xdr:spPr>
        <a:xfrm>
          <a:off x="10068899" y="3712028"/>
          <a:ext cx="522641" cy="130900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9</xdr:row>
      <xdr:rowOff>0</xdr:rowOff>
    </xdr:from>
    <xdr:to>
      <xdr:col>7</xdr:col>
      <xdr:colOff>735106</xdr:colOff>
      <xdr:row>9</xdr:row>
      <xdr:rowOff>123281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452009</xdr:colOff>
      <xdr:row>9</xdr:row>
      <xdr:rowOff>9525</xdr:rowOff>
    </xdr:from>
    <xdr:to>
      <xdr:col>6</xdr:col>
      <xdr:colOff>987027</xdr:colOff>
      <xdr:row>10</xdr:row>
      <xdr:rowOff>6829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559" y="9048750"/>
          <a:ext cx="535018" cy="1264129"/>
        </a:xfrm>
        <a:prstGeom prst="rect">
          <a:avLst/>
        </a:prstGeom>
      </xdr:spPr>
    </xdr:pic>
    <xdr:clientData/>
  </xdr:twoCellAnchor>
  <xdr:twoCellAnchor>
    <xdr:from>
      <xdr:col>7</xdr:col>
      <xdr:colOff>584527</xdr:colOff>
      <xdr:row>8</xdr:row>
      <xdr:rowOff>228600</xdr:rowOff>
    </xdr:from>
    <xdr:to>
      <xdr:col>7</xdr:col>
      <xdr:colOff>1146129</xdr:colOff>
      <xdr:row>10</xdr:row>
      <xdr:rowOff>20725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1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902" y="9029700"/>
          <a:ext cx="561602" cy="1297075"/>
        </a:xfrm>
        <a:prstGeom prst="rect">
          <a:avLst/>
        </a:prstGeom>
      </xdr:spPr>
    </xdr:pic>
    <xdr:clientData/>
  </xdr:twoCellAnchor>
  <xdr:twoCellAnchor>
    <xdr:from>
      <xdr:col>11</xdr:col>
      <xdr:colOff>80236</xdr:colOff>
      <xdr:row>9</xdr:row>
      <xdr:rowOff>9525</xdr:rowOff>
    </xdr:from>
    <xdr:to>
      <xdr:col>12</xdr:col>
      <xdr:colOff>0</xdr:colOff>
      <xdr:row>10</xdr:row>
      <xdr:rowOff>45104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1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936" y="9172575"/>
          <a:ext cx="500789" cy="1302404"/>
        </a:xfrm>
        <a:prstGeom prst="rect">
          <a:avLst/>
        </a:prstGeom>
      </xdr:spPr>
    </xdr:pic>
    <xdr:clientData/>
  </xdr:twoCellAnchor>
  <xdr:twoCellAnchor>
    <xdr:from>
      <xdr:col>6</xdr:col>
      <xdr:colOff>493208</xdr:colOff>
      <xdr:row>2</xdr:row>
      <xdr:rowOff>11677</xdr:rowOff>
    </xdr:from>
    <xdr:to>
      <xdr:col>6</xdr:col>
      <xdr:colOff>1031765</xdr:colOff>
      <xdr:row>3</xdr:row>
      <xdr:rowOff>30761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2758" y="430777"/>
          <a:ext cx="538557" cy="1162084"/>
        </a:xfrm>
        <a:prstGeom prst="rect">
          <a:avLst/>
        </a:prstGeom>
      </xdr:spPr>
    </xdr:pic>
    <xdr:clientData/>
  </xdr:twoCellAnchor>
  <xdr:twoCellAnchor>
    <xdr:from>
      <xdr:col>7</xdr:col>
      <xdr:colOff>497701</xdr:colOff>
      <xdr:row>1</xdr:row>
      <xdr:rowOff>143592</xdr:rowOff>
    </xdr:from>
    <xdr:to>
      <xdr:col>7</xdr:col>
      <xdr:colOff>1036256</xdr:colOff>
      <xdr:row>2</xdr:row>
      <xdr:rowOff>1142617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5076" y="372192"/>
          <a:ext cx="538555" cy="1189525"/>
        </a:xfrm>
        <a:prstGeom prst="rect">
          <a:avLst/>
        </a:prstGeom>
      </xdr:spPr>
    </xdr:pic>
    <xdr:clientData/>
  </xdr:twoCellAnchor>
  <xdr:twoCellAnchor>
    <xdr:from>
      <xdr:col>12</xdr:col>
      <xdr:colOff>78505</xdr:colOff>
      <xdr:row>2</xdr:row>
      <xdr:rowOff>17689</xdr:rowOff>
    </xdr:from>
    <xdr:to>
      <xdr:col>12</xdr:col>
      <xdr:colOff>617061</xdr:colOff>
      <xdr:row>3</xdr:row>
      <xdr:rowOff>46598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1076" y="439510"/>
          <a:ext cx="538556" cy="1171909"/>
        </a:xfrm>
        <a:prstGeom prst="rect">
          <a:avLst/>
        </a:prstGeom>
      </xdr:spPr>
    </xdr:pic>
    <xdr:clientData/>
  </xdr:twoCellAnchor>
  <xdr:twoCellAnchor editAs="oneCell">
    <xdr:from>
      <xdr:col>13</xdr:col>
      <xdr:colOff>93784</xdr:colOff>
      <xdr:row>9</xdr:row>
      <xdr:rowOff>52752</xdr:rowOff>
    </xdr:from>
    <xdr:to>
      <xdr:col>13</xdr:col>
      <xdr:colOff>584688</xdr:colOff>
      <xdr:row>10</xdr:row>
      <xdr:rowOff>38830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371" t="8356" r="29741" b="27557"/>
        <a:stretch/>
      </xdr:blipFill>
      <xdr:spPr>
        <a:xfrm>
          <a:off x="8725815" y="9089596"/>
          <a:ext cx="490904" cy="1248141"/>
        </a:xfrm>
        <a:prstGeom prst="rect">
          <a:avLst/>
        </a:prstGeom>
      </xdr:spPr>
    </xdr:pic>
    <xdr:clientData/>
  </xdr:twoCellAnchor>
  <xdr:twoCellAnchor>
    <xdr:from>
      <xdr:col>14</xdr:col>
      <xdr:colOff>540439</xdr:colOff>
      <xdr:row>2</xdr:row>
      <xdr:rowOff>1435</xdr:rowOff>
    </xdr:from>
    <xdr:to>
      <xdr:col>14</xdr:col>
      <xdr:colOff>1030076</xdr:colOff>
      <xdr:row>3</xdr:row>
      <xdr:rowOff>21535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714" y="420535"/>
          <a:ext cx="489637" cy="1163100"/>
        </a:xfrm>
        <a:prstGeom prst="rect">
          <a:avLst/>
        </a:prstGeom>
      </xdr:spPr>
    </xdr:pic>
    <xdr:clientData/>
  </xdr:twoCellAnchor>
  <xdr:twoCellAnchor editAs="oneCell">
    <xdr:from>
      <xdr:col>14</xdr:col>
      <xdr:colOff>501283</xdr:colOff>
      <xdr:row>8</xdr:row>
      <xdr:rowOff>200025</xdr:rowOff>
    </xdr:from>
    <xdr:to>
      <xdr:col>14</xdr:col>
      <xdr:colOff>1037065</xdr:colOff>
      <xdr:row>10</xdr:row>
      <xdr:rowOff>17795</xdr:rowOff>
    </xdr:to>
    <xdr:pic>
      <xdr:nvPicPr>
        <xdr:cNvPr id="22" name="Рисунок 21" descr="для прайса_исполнение_florence.png">
          <a:extLst>
            <a:ext uri="{FF2B5EF4-FFF2-40B4-BE49-F238E27FC236}">
              <a16:creationId xmlns=""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40351" t="4545" r="49407" b="24502"/>
        <a:stretch/>
      </xdr:blipFill>
      <xdr:spPr>
        <a:xfrm>
          <a:off x="9559558" y="9001125"/>
          <a:ext cx="535782" cy="1322721"/>
        </a:xfrm>
        <a:prstGeom prst="rect">
          <a:avLst/>
        </a:prstGeom>
      </xdr:spPr>
    </xdr:pic>
    <xdr:clientData/>
  </xdr:twoCellAnchor>
  <xdr:twoCellAnchor editAs="oneCell">
    <xdr:from>
      <xdr:col>12</xdr:col>
      <xdr:colOff>103528</xdr:colOff>
      <xdr:row>9</xdr:row>
      <xdr:rowOff>38100</xdr:rowOff>
    </xdr:from>
    <xdr:to>
      <xdr:col>12</xdr:col>
      <xdr:colOff>618587</xdr:colOff>
      <xdr:row>10</xdr:row>
      <xdr:rowOff>60017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670" t="7253" r="34824" b="24453"/>
        <a:stretch/>
      </xdr:blipFill>
      <xdr:spPr>
        <a:xfrm>
          <a:off x="8068809" y="9074944"/>
          <a:ext cx="515059" cy="1283980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9</xdr:row>
      <xdr:rowOff>0</xdr:rowOff>
    </xdr:from>
    <xdr:to>
      <xdr:col>8</xdr:col>
      <xdr:colOff>721180</xdr:colOff>
      <xdr:row>10</xdr:row>
      <xdr:rowOff>70201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5347607"/>
          <a:ext cx="625930" cy="1335665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1</xdr:rowOff>
    </xdr:from>
    <xdr:to>
      <xdr:col>9</xdr:col>
      <xdr:colOff>585108</xdr:colOff>
      <xdr:row>2</xdr:row>
      <xdr:rowOff>1115787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421822"/>
          <a:ext cx="585108" cy="1115786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68036</xdr:colOff>
      <xdr:row>8</xdr:row>
      <xdr:rowOff>231321</xdr:rowOff>
    </xdr:from>
    <xdr:to>
      <xdr:col>10</xdr:col>
      <xdr:colOff>639536</xdr:colOff>
      <xdr:row>10</xdr:row>
      <xdr:rowOff>54429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5334000"/>
          <a:ext cx="571500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40820</xdr:colOff>
      <xdr:row>9</xdr:row>
      <xdr:rowOff>81642</xdr:rowOff>
    </xdr:from>
    <xdr:to>
      <xdr:col>9</xdr:col>
      <xdr:colOff>707571</xdr:colOff>
      <xdr:row>10</xdr:row>
      <xdr:rowOff>108247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427" y="5429249"/>
          <a:ext cx="666751" cy="129206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309564</xdr:colOff>
      <xdr:row>2</xdr:row>
      <xdr:rowOff>0</xdr:rowOff>
    </xdr:from>
    <xdr:to>
      <xdr:col>11</xdr:col>
      <xdr:colOff>796152</xdr:colOff>
      <xdr:row>3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8752" b="19639"/>
        <a:stretch/>
      </xdr:blipFill>
      <xdr:spPr>
        <a:xfrm>
          <a:off x="11453814" y="416719"/>
          <a:ext cx="486588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11206</xdr:colOff>
      <xdr:row>19</xdr:row>
      <xdr:rowOff>134471</xdr:rowOff>
    </xdr:from>
    <xdr:to>
      <xdr:col>15</xdr:col>
      <xdr:colOff>11206</xdr:colOff>
      <xdr:row>20</xdr:row>
      <xdr:rowOff>124504</xdr:rowOff>
    </xdr:to>
    <xdr:pic>
      <xdr:nvPicPr>
        <xdr:cNvPr id="4" name="Рисунок 3" descr="накладка на входную дверь.jpg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77882" y="9155206"/>
          <a:ext cx="0" cy="4965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</xdr:row>
      <xdr:rowOff>107400</xdr:rowOff>
    </xdr:from>
    <xdr:to>
      <xdr:col>15</xdr:col>
      <xdr:colOff>0</xdr:colOff>
      <xdr:row>14</xdr:row>
      <xdr:rowOff>145053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14</xdr:row>
      <xdr:rowOff>107400</xdr:rowOff>
    </xdr:from>
    <xdr:to>
      <xdr:col>15</xdr:col>
      <xdr:colOff>0</xdr:colOff>
      <xdr:row>14</xdr:row>
      <xdr:rowOff>254833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2321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</xdr:row>
      <xdr:rowOff>0</xdr:rowOff>
    </xdr:from>
    <xdr:to>
      <xdr:col>15</xdr:col>
      <xdr:colOff>0</xdr:colOff>
      <xdr:row>16</xdr:row>
      <xdr:rowOff>142331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</xdr:row>
      <xdr:rowOff>0</xdr:rowOff>
    </xdr:from>
    <xdr:to>
      <xdr:col>15</xdr:col>
      <xdr:colOff>0</xdr:colOff>
      <xdr:row>16</xdr:row>
      <xdr:rowOff>142331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5</xdr:col>
      <xdr:colOff>685533</xdr:colOff>
      <xdr:row>13</xdr:row>
      <xdr:rowOff>107400</xdr:rowOff>
    </xdr:from>
    <xdr:to>
      <xdr:col>5</xdr:col>
      <xdr:colOff>690656</xdr:colOff>
      <xdr:row>14</xdr:row>
      <xdr:rowOff>123281</xdr:rowOff>
    </xdr:to>
    <xdr:pic>
      <xdr:nvPicPr>
        <xdr:cNvPr id="16" name="Рисунок 15" descr="галочка.png"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60433" y="60383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660133</xdr:colOff>
      <xdr:row>13</xdr:row>
      <xdr:rowOff>107400</xdr:rowOff>
    </xdr:from>
    <xdr:to>
      <xdr:col>5</xdr:col>
      <xdr:colOff>662081</xdr:colOff>
      <xdr:row>14</xdr:row>
      <xdr:rowOff>123281</xdr:rowOff>
    </xdr:to>
    <xdr:pic>
      <xdr:nvPicPr>
        <xdr:cNvPr id="18" name="Рисунок 17" descr="галочка.png"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35033" y="6038300"/>
          <a:ext cx="1948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14</xdr:row>
      <xdr:rowOff>107400</xdr:rowOff>
    </xdr:from>
    <xdr:to>
      <xdr:col>5</xdr:col>
      <xdr:colOff>731931</xdr:colOff>
      <xdr:row>14</xdr:row>
      <xdr:rowOff>192581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874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14</xdr:row>
      <xdr:rowOff>107400</xdr:rowOff>
    </xdr:from>
    <xdr:to>
      <xdr:col>12</xdr:col>
      <xdr:colOff>735106</xdr:colOff>
      <xdr:row>14</xdr:row>
      <xdr:rowOff>192581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41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107400</xdr:rowOff>
    </xdr:from>
    <xdr:to>
      <xdr:col>6</xdr:col>
      <xdr:colOff>0</xdr:colOff>
      <xdr:row>14</xdr:row>
      <xdr:rowOff>192581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357187</xdr:colOff>
      <xdr:row>1</xdr:row>
      <xdr:rowOff>178593</xdr:rowOff>
    </xdr:from>
    <xdr:to>
      <xdr:col>8</xdr:col>
      <xdr:colOff>831498</xdr:colOff>
      <xdr:row>3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190" r="39996" b="19193"/>
        <a:stretch/>
      </xdr:blipFill>
      <xdr:spPr>
        <a:xfrm>
          <a:off x="7358062" y="404812"/>
          <a:ext cx="474311" cy="1154907"/>
        </a:xfrm>
        <a:prstGeom prst="rect">
          <a:avLst/>
        </a:prstGeom>
      </xdr:spPr>
    </xdr:pic>
    <xdr:clientData/>
  </xdr:twoCellAnchor>
  <xdr:twoCellAnchor>
    <xdr:from>
      <xdr:col>12</xdr:col>
      <xdr:colOff>272143</xdr:colOff>
      <xdr:row>2</xdr:row>
      <xdr:rowOff>0</xdr:rowOff>
    </xdr:from>
    <xdr:to>
      <xdr:col>12</xdr:col>
      <xdr:colOff>769336</xdr:colOff>
      <xdr:row>3</xdr:row>
      <xdr:rowOff>1326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259786" y="421821"/>
          <a:ext cx="497193" cy="1144326"/>
        </a:xfrm>
        <a:prstGeom prst="rect">
          <a:avLst/>
        </a:prstGeom>
      </xdr:spPr>
    </xdr:pic>
    <xdr:clientData/>
  </xdr:twoCellAnchor>
  <xdr:twoCellAnchor>
    <xdr:from>
      <xdr:col>7</xdr:col>
      <xdr:colOff>328613</xdr:colOff>
      <xdr:row>2</xdr:row>
      <xdr:rowOff>0</xdr:rowOff>
    </xdr:from>
    <xdr:to>
      <xdr:col>7</xdr:col>
      <xdr:colOff>807987</xdr:colOff>
      <xdr:row>3</xdr:row>
      <xdr:rowOff>3609</xdr:rowOff>
    </xdr:to>
    <xdr:pic>
      <xdr:nvPicPr>
        <xdr:cNvPr id="31" name="Рисунок 30" descr="корсика.png">
          <a:extLst>
            <a:ext uri="{FF2B5EF4-FFF2-40B4-BE49-F238E27FC236}">
              <a16:creationId xmlns=""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948363" y="416719"/>
          <a:ext cx="479374" cy="1146609"/>
        </a:xfrm>
        <a:prstGeom prst="rect">
          <a:avLst/>
        </a:prstGeom>
      </xdr:spPr>
    </xdr:pic>
    <xdr:clientData/>
  </xdr:twoCellAnchor>
  <xdr:twoCellAnchor>
    <xdr:from>
      <xdr:col>10</xdr:col>
      <xdr:colOff>332065</xdr:colOff>
      <xdr:row>1</xdr:row>
      <xdr:rowOff>178593</xdr:rowOff>
    </xdr:from>
    <xdr:to>
      <xdr:col>10</xdr:col>
      <xdr:colOff>819312</xdr:colOff>
      <xdr:row>3</xdr:row>
      <xdr:rowOff>10497</xdr:rowOff>
    </xdr:to>
    <xdr:pic>
      <xdr:nvPicPr>
        <xdr:cNvPr id="33" name="Рисунок 32" descr="корсика.png">
          <a:extLst>
            <a:ext uri="{FF2B5EF4-FFF2-40B4-BE49-F238E27FC236}">
              <a16:creationId xmlns=""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95190" y="404812"/>
          <a:ext cx="487247" cy="1165404"/>
        </a:xfrm>
        <a:prstGeom prst="rect">
          <a:avLst/>
        </a:prstGeom>
      </xdr:spPr>
    </xdr:pic>
    <xdr:clientData/>
  </xdr:twoCellAnchor>
  <xdr:twoCellAnchor>
    <xdr:from>
      <xdr:col>6</xdr:col>
      <xdr:colOff>325552</xdr:colOff>
      <xdr:row>2</xdr:row>
      <xdr:rowOff>13607</xdr:rowOff>
    </xdr:from>
    <xdr:to>
      <xdr:col>6</xdr:col>
      <xdr:colOff>813044</xdr:colOff>
      <xdr:row>3</xdr:row>
      <xdr:rowOff>28649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16552" y="435428"/>
          <a:ext cx="487492" cy="1158042"/>
        </a:xfrm>
        <a:prstGeom prst="rect">
          <a:avLst/>
        </a:prstGeom>
      </xdr:spPr>
    </xdr:pic>
    <xdr:clientData/>
  </xdr:twoCellAnchor>
  <xdr:twoCellAnchor editAs="oneCell">
    <xdr:from>
      <xdr:col>9</xdr:col>
      <xdr:colOff>348685</xdr:colOff>
      <xdr:row>2</xdr:row>
      <xdr:rowOff>13607</xdr:rowOff>
    </xdr:from>
    <xdr:to>
      <xdr:col>9</xdr:col>
      <xdr:colOff>825481</xdr:colOff>
      <xdr:row>3</xdr:row>
      <xdr:rowOff>25513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416" r="28770" b="19614"/>
        <a:stretch/>
      </xdr:blipFill>
      <xdr:spPr>
        <a:xfrm>
          <a:off x="7438006" y="435428"/>
          <a:ext cx="476796" cy="1154906"/>
        </a:xfrm>
        <a:prstGeom prst="rect">
          <a:avLst/>
        </a:prstGeom>
      </xdr:spPr>
    </xdr:pic>
    <xdr:clientData/>
  </xdr:twoCellAnchor>
  <xdr:twoCellAnchor editAs="oneCell">
    <xdr:from>
      <xdr:col>13</xdr:col>
      <xdr:colOff>280147</xdr:colOff>
      <xdr:row>1</xdr:row>
      <xdr:rowOff>179294</xdr:rowOff>
    </xdr:from>
    <xdr:to>
      <xdr:col>13</xdr:col>
      <xdr:colOff>744243</xdr:colOff>
      <xdr:row>3</xdr:row>
      <xdr:rowOff>0</xdr:rowOff>
    </xdr:to>
    <xdr:pic>
      <xdr:nvPicPr>
        <xdr:cNvPr id="21" name="Рисунок 20" descr="sienna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340353" y="403412"/>
          <a:ext cx="464096" cy="1154206"/>
        </a:xfrm>
        <a:prstGeom prst="rect">
          <a:avLst/>
        </a:prstGeom>
      </xdr:spPr>
    </xdr:pic>
    <xdr:clientData/>
  </xdr:twoCellAnchor>
  <xdr:twoCellAnchor editAs="oneCell">
    <xdr:from>
      <xdr:col>15</xdr:col>
      <xdr:colOff>235324</xdr:colOff>
      <xdr:row>1</xdr:row>
      <xdr:rowOff>168088</xdr:rowOff>
    </xdr:from>
    <xdr:to>
      <xdr:col>15</xdr:col>
      <xdr:colOff>717176</xdr:colOff>
      <xdr:row>3</xdr:row>
      <xdr:rowOff>32953</xdr:rowOff>
    </xdr:to>
    <xdr:pic>
      <xdr:nvPicPr>
        <xdr:cNvPr id="23" name="Рисунок 22" descr="sienna2b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245353" y="392206"/>
          <a:ext cx="481852" cy="1198365"/>
        </a:xfrm>
        <a:prstGeom prst="rect">
          <a:avLst/>
        </a:prstGeom>
      </xdr:spPr>
    </xdr:pic>
    <xdr:clientData/>
  </xdr:twoCellAnchor>
  <xdr:twoCellAnchor editAs="oneCell">
    <xdr:from>
      <xdr:col>16</xdr:col>
      <xdr:colOff>11206</xdr:colOff>
      <xdr:row>19</xdr:row>
      <xdr:rowOff>134471</xdr:rowOff>
    </xdr:from>
    <xdr:to>
      <xdr:col>16</xdr:col>
      <xdr:colOff>11206</xdr:colOff>
      <xdr:row>20</xdr:row>
      <xdr:rowOff>124504</xdr:rowOff>
    </xdr:to>
    <xdr:pic>
      <xdr:nvPicPr>
        <xdr:cNvPr id="25" name="Рисунок 24" descr="накладка на входную дверь.jpg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21235" y="4840942"/>
          <a:ext cx="0" cy="4942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685533</xdr:colOff>
      <xdr:row>10</xdr:row>
      <xdr:rowOff>0</xdr:rowOff>
    </xdr:from>
    <xdr:to>
      <xdr:col>6</xdr:col>
      <xdr:colOff>8031</xdr:colOff>
      <xdr:row>11</xdr:row>
      <xdr:rowOff>17562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4058" y="3714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660133</xdr:colOff>
      <xdr:row>10</xdr:row>
      <xdr:rowOff>0</xdr:rowOff>
    </xdr:from>
    <xdr:to>
      <xdr:col>6</xdr:col>
      <xdr:colOff>10485</xdr:colOff>
      <xdr:row>11</xdr:row>
      <xdr:rowOff>17562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8658" y="3714750"/>
          <a:ext cx="1948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10</xdr:row>
      <xdr:rowOff>0</xdr:rowOff>
    </xdr:from>
    <xdr:to>
      <xdr:col>6</xdr:col>
      <xdr:colOff>4856</xdr:colOff>
      <xdr:row>10</xdr:row>
      <xdr:rowOff>85181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3822150"/>
          <a:ext cx="1948" cy="851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5123</xdr:colOff>
      <xdr:row>10</xdr:row>
      <xdr:rowOff>85181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308" y="38221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0</xdr:colOff>
      <xdr:row>10</xdr:row>
      <xdr:rowOff>85181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19575" y="3822150"/>
          <a:ext cx="0" cy="85181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12</xdr:col>
      <xdr:colOff>0</xdr:colOff>
      <xdr:row>3</xdr:row>
      <xdr:rowOff>1326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115017" y="419100"/>
          <a:ext cx="479051" cy="1144326"/>
        </a:xfrm>
        <a:prstGeom prst="rect">
          <a:avLst/>
        </a:prstGeom>
      </xdr:spPr>
    </xdr:pic>
    <xdr:clientData/>
  </xdr:twoCellAnchor>
  <xdr:twoCellAnchor editAs="oneCell">
    <xdr:from>
      <xdr:col>6</xdr:col>
      <xdr:colOff>168088</xdr:colOff>
      <xdr:row>1</xdr:row>
      <xdr:rowOff>134470</xdr:rowOff>
    </xdr:from>
    <xdr:to>
      <xdr:col>6</xdr:col>
      <xdr:colOff>654088</xdr:colOff>
      <xdr:row>3</xdr:row>
      <xdr:rowOff>134930</xdr:rowOff>
    </xdr:to>
    <xdr:pic>
      <xdr:nvPicPr>
        <xdr:cNvPr id="15" name="Рисунок 14" descr="SavonaДГ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98794" y="369794"/>
          <a:ext cx="486000" cy="1199489"/>
        </a:xfrm>
        <a:prstGeom prst="rect">
          <a:avLst/>
        </a:prstGeom>
      </xdr:spPr>
    </xdr:pic>
    <xdr:clientData/>
  </xdr:twoCellAnchor>
  <xdr:twoCellAnchor editAs="oneCell">
    <xdr:from>
      <xdr:col>7</xdr:col>
      <xdr:colOff>168088</xdr:colOff>
      <xdr:row>1</xdr:row>
      <xdr:rowOff>123264</xdr:rowOff>
    </xdr:from>
    <xdr:to>
      <xdr:col>7</xdr:col>
      <xdr:colOff>654088</xdr:colOff>
      <xdr:row>3</xdr:row>
      <xdr:rowOff>134650</xdr:rowOff>
    </xdr:to>
    <xdr:pic>
      <xdr:nvPicPr>
        <xdr:cNvPr id="16" name="Рисунок 15" descr="SavonaД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7176" y="358588"/>
          <a:ext cx="486000" cy="1210415"/>
        </a:xfrm>
        <a:prstGeom prst="rect">
          <a:avLst/>
        </a:prstGeom>
      </xdr:spPr>
    </xdr:pic>
    <xdr:clientData/>
  </xdr:twoCellAnchor>
  <xdr:twoCellAnchor editAs="oneCell">
    <xdr:from>
      <xdr:col>9</xdr:col>
      <xdr:colOff>291350</xdr:colOff>
      <xdr:row>1</xdr:row>
      <xdr:rowOff>123267</xdr:rowOff>
    </xdr:from>
    <xdr:to>
      <xdr:col>9</xdr:col>
      <xdr:colOff>801582</xdr:colOff>
      <xdr:row>3</xdr:row>
      <xdr:rowOff>130238</xdr:rowOff>
    </xdr:to>
    <xdr:pic>
      <xdr:nvPicPr>
        <xdr:cNvPr id="17" name="Рисунок 16" descr="Savona 2ДО (1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52879" y="358591"/>
          <a:ext cx="510232" cy="1206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</xdr:row>
      <xdr:rowOff>123264</xdr:rowOff>
    </xdr:from>
    <xdr:to>
      <xdr:col>8</xdr:col>
      <xdr:colOff>698633</xdr:colOff>
      <xdr:row>3</xdr:row>
      <xdr:rowOff>123035</xdr:rowOff>
    </xdr:to>
    <xdr:pic>
      <xdr:nvPicPr>
        <xdr:cNvPr id="18" name="Рисунок 17" descr="Savona 2ДГ 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4853" y="358588"/>
          <a:ext cx="485721" cy="1198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224118</xdr:colOff>
      <xdr:row>1</xdr:row>
      <xdr:rowOff>123263</xdr:rowOff>
    </xdr:from>
    <xdr:to>
      <xdr:col>11</xdr:col>
      <xdr:colOff>705454</xdr:colOff>
      <xdr:row>3</xdr:row>
      <xdr:rowOff>123034</xdr:rowOff>
    </xdr:to>
    <xdr:pic>
      <xdr:nvPicPr>
        <xdr:cNvPr id="19" name="Рисунок 18" descr="Savona 2bДО (1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844118" y="358587"/>
          <a:ext cx="481336" cy="11988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168090</xdr:colOff>
      <xdr:row>1</xdr:row>
      <xdr:rowOff>112058</xdr:rowOff>
    </xdr:from>
    <xdr:to>
      <xdr:col>10</xdr:col>
      <xdr:colOff>653811</xdr:colOff>
      <xdr:row>3</xdr:row>
      <xdr:rowOff>111829</xdr:rowOff>
    </xdr:to>
    <xdr:pic>
      <xdr:nvPicPr>
        <xdr:cNvPr id="20" name="Рисунок 19" descr="Savona 2bДГ-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026090" y="347382"/>
          <a:ext cx="485721" cy="1198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14</xdr:row>
      <xdr:rowOff>0</xdr:rowOff>
    </xdr:from>
    <xdr:to>
      <xdr:col>11</xdr:col>
      <xdr:colOff>0</xdr:colOff>
      <xdr:row>15</xdr:row>
      <xdr:rowOff>246786</xdr:rowOff>
    </xdr:to>
    <xdr:pic>
      <xdr:nvPicPr>
        <xdr:cNvPr id="32" name="Рисунок 31" descr="накладка на входную дверь.jpg">
          <a:extLst>
            <a:ext uri="{FF2B5EF4-FFF2-40B4-BE49-F238E27FC236}">
              <a16:creationId xmlns=""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6490" y="5879646"/>
          <a:ext cx="280416" cy="5151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0</xdr:colOff>
      <xdr:row>27</xdr:row>
      <xdr:rowOff>142331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11792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0</xdr:colOff>
      <xdr:row>27</xdr:row>
      <xdr:rowOff>137149</xdr:rowOff>
    </xdr:to>
    <xdr:pic>
      <xdr:nvPicPr>
        <xdr:cNvPr id="35" name="Рисунок 34" descr="галочка.png">
          <a:extLst>
            <a:ext uri="{FF2B5EF4-FFF2-40B4-BE49-F238E27FC236}">
              <a16:creationId xmlns="" xmlns:a16="http://schemas.microsoft.com/office/drawing/2014/main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470350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0</xdr:colOff>
      <xdr:row>11</xdr:row>
      <xdr:rowOff>142331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82277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0</xdr:colOff>
      <xdr:row>11</xdr:row>
      <xdr:rowOff>142331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1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9175200"/>
          <a:ext cx="138473" cy="142331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27</xdr:row>
      <xdr:rowOff>0</xdr:rowOff>
    </xdr:from>
    <xdr:ext cx="0" cy="142331"/>
    <xdr:pic>
      <xdr:nvPicPr>
        <xdr:cNvPr id="33" name="Рисунок 32" descr="галочка.png">
          <a:extLst>
            <a:ext uri="{FF2B5EF4-FFF2-40B4-BE49-F238E27FC236}">
              <a16:creationId xmlns=""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0" y="7603575"/>
          <a:ext cx="0" cy="142331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27</xdr:row>
      <xdr:rowOff>0</xdr:rowOff>
    </xdr:from>
    <xdr:to>
      <xdr:col>7</xdr:col>
      <xdr:colOff>0</xdr:colOff>
      <xdr:row>27</xdr:row>
      <xdr:rowOff>142331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0</xdr:colOff>
      <xdr:row>27</xdr:row>
      <xdr:rowOff>137149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>
    <xdr:from>
      <xdr:col>10</xdr:col>
      <xdr:colOff>479421</xdr:colOff>
      <xdr:row>1</xdr:row>
      <xdr:rowOff>178593</xdr:rowOff>
    </xdr:from>
    <xdr:to>
      <xdr:col>10</xdr:col>
      <xdr:colOff>961240</xdr:colOff>
      <xdr:row>3</xdr:row>
      <xdr:rowOff>19598</xdr:rowOff>
    </xdr:to>
    <xdr:pic>
      <xdr:nvPicPr>
        <xdr:cNvPr id="46" name="Рисунок 45" descr="корсика.png">
          <a:extLst>
            <a:ext uri="{FF2B5EF4-FFF2-40B4-BE49-F238E27FC236}">
              <a16:creationId xmlns="" xmlns:a16="http://schemas.microsoft.com/office/drawing/2014/main" id="{00000000-0008-0000-1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385921" y="1500187"/>
          <a:ext cx="481819" cy="1174505"/>
        </a:xfrm>
        <a:prstGeom prst="rect">
          <a:avLst/>
        </a:prstGeom>
      </xdr:spPr>
    </xdr:pic>
    <xdr:clientData/>
  </xdr:twoCellAnchor>
  <xdr:twoCellAnchor>
    <xdr:from>
      <xdr:col>7</xdr:col>
      <xdr:colOff>107150</xdr:colOff>
      <xdr:row>1</xdr:row>
      <xdr:rowOff>142875</xdr:rowOff>
    </xdr:from>
    <xdr:to>
      <xdr:col>7</xdr:col>
      <xdr:colOff>1654969</xdr:colOff>
      <xdr:row>2</xdr:row>
      <xdr:rowOff>1119187</xdr:rowOff>
    </xdr:to>
    <xdr:grpSp>
      <xdr:nvGrpSpPr>
        <xdr:cNvPr id="4" name="Группа 3"/>
        <xdr:cNvGrpSpPr/>
      </xdr:nvGrpSpPr>
      <xdr:grpSpPr>
        <a:xfrm>
          <a:off x="5726900" y="369094"/>
          <a:ext cx="1547819" cy="1166812"/>
          <a:chOff x="5691180" y="1547812"/>
          <a:chExt cx="1547819" cy="1166812"/>
        </a:xfrm>
      </xdr:grpSpPr>
      <xdr:pic>
        <xdr:nvPicPr>
          <xdr:cNvPr id="48" name="Рисунок 47" descr="корсика.png">
            <a:extLst>
              <a:ext uri="{FF2B5EF4-FFF2-40B4-BE49-F238E27FC236}">
                <a16:creationId xmlns="" xmlns:a16="http://schemas.microsoft.com/office/drawing/2014/main" id="{00000000-0008-0000-19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5691180" y="1547812"/>
            <a:ext cx="473358" cy="1153490"/>
          </a:xfrm>
          <a:prstGeom prst="rect">
            <a:avLst/>
          </a:prstGeom>
        </xdr:spPr>
      </xdr:pic>
      <xdr:pic>
        <xdr:nvPicPr>
          <xdr:cNvPr id="49" name="Рисунок 48" descr="корсика.png">
            <a:extLst>
              <a:ext uri="{FF2B5EF4-FFF2-40B4-BE49-F238E27FC236}">
                <a16:creationId xmlns="" xmlns:a16="http://schemas.microsoft.com/office/drawing/2014/main" id="{00000000-0008-0000-19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218474" y="1559718"/>
            <a:ext cx="471865" cy="1150220"/>
          </a:xfrm>
          <a:prstGeom prst="rect">
            <a:avLst/>
          </a:prstGeom>
        </xdr:spPr>
      </xdr:pic>
      <xdr:pic>
        <xdr:nvPicPr>
          <xdr:cNvPr id="50" name="Рисунок 49" descr="корсика.png">
            <a:extLst>
              <a:ext uri="{FF2B5EF4-FFF2-40B4-BE49-F238E27FC236}">
                <a16:creationId xmlns="" xmlns:a16="http://schemas.microsoft.com/office/drawing/2014/main" id="{00000000-0008-0000-19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765291" y="1559911"/>
            <a:ext cx="473708" cy="1154713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488156</xdr:colOff>
      <xdr:row>2</xdr:row>
      <xdr:rowOff>0</xdr:rowOff>
    </xdr:from>
    <xdr:to>
      <xdr:col>6</xdr:col>
      <xdr:colOff>955395</xdr:colOff>
      <xdr:row>3</xdr:row>
      <xdr:rowOff>18115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6781" y="1512094"/>
          <a:ext cx="467239" cy="1161115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27</xdr:row>
      <xdr:rowOff>0</xdr:rowOff>
    </xdr:from>
    <xdr:to>
      <xdr:col>11</xdr:col>
      <xdr:colOff>738644</xdr:colOff>
      <xdr:row>27</xdr:row>
      <xdr:rowOff>131125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779483" y="15192619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6</xdr:col>
      <xdr:colOff>9109</xdr:colOff>
      <xdr:row>27</xdr:row>
      <xdr:rowOff>56606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5918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5123</xdr:colOff>
      <xdr:row>27</xdr:row>
      <xdr:rowOff>47081</xdr:rowOff>
    </xdr:to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27</xdr:row>
      <xdr:rowOff>0</xdr:rowOff>
    </xdr:from>
    <xdr:to>
      <xdr:col>5</xdr:col>
      <xdr:colOff>730063</xdr:colOff>
      <xdr:row>27</xdr:row>
      <xdr:rowOff>56606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4003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5123</xdr:colOff>
      <xdr:row>27</xdr:row>
      <xdr:rowOff>47081</xdr:rowOff>
    </xdr:to>
    <xdr:pic>
      <xdr:nvPicPr>
        <xdr:cNvPr id="30" name="Рисунок 29" descr="галочка.png">
          <a:extLst>
            <a:ext uri="{FF2B5EF4-FFF2-40B4-BE49-F238E27FC236}">
              <a16:creationId xmlns=""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0</xdr:rowOff>
    </xdr:from>
    <xdr:to>
      <xdr:col>4</xdr:col>
      <xdr:colOff>735106</xdr:colOff>
      <xdr:row>27</xdr:row>
      <xdr:rowOff>142331</xdr:rowOff>
    </xdr:to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0</xdr:rowOff>
    </xdr:from>
    <xdr:to>
      <xdr:col>4</xdr:col>
      <xdr:colOff>735106</xdr:colOff>
      <xdr:row>27</xdr:row>
      <xdr:rowOff>142331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9</xdr:col>
      <xdr:colOff>559595</xdr:colOff>
      <xdr:row>2</xdr:row>
      <xdr:rowOff>15067</xdr:rowOff>
    </xdr:from>
    <xdr:to>
      <xdr:col>9</xdr:col>
      <xdr:colOff>1023939</xdr:colOff>
      <xdr:row>3</xdr:row>
      <xdr:rowOff>22102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1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031" b="19716"/>
        <a:stretch/>
      </xdr:blipFill>
      <xdr:spPr>
        <a:xfrm>
          <a:off x="9608345" y="1527161"/>
          <a:ext cx="464344" cy="1150035"/>
        </a:xfrm>
        <a:prstGeom prst="rect">
          <a:avLst/>
        </a:prstGeom>
      </xdr:spPr>
    </xdr:pic>
    <xdr:clientData/>
  </xdr:twoCellAnchor>
  <xdr:twoCellAnchor>
    <xdr:from>
      <xdr:col>8</xdr:col>
      <xdr:colOff>166687</xdr:colOff>
      <xdr:row>1</xdr:row>
      <xdr:rowOff>142875</xdr:rowOff>
    </xdr:from>
    <xdr:to>
      <xdr:col>8</xdr:col>
      <xdr:colOff>1589066</xdr:colOff>
      <xdr:row>2</xdr:row>
      <xdr:rowOff>1131095</xdr:rowOff>
    </xdr:to>
    <xdr:grpSp>
      <xdr:nvGrpSpPr>
        <xdr:cNvPr id="7" name="Группа 6"/>
        <xdr:cNvGrpSpPr/>
      </xdr:nvGrpSpPr>
      <xdr:grpSpPr>
        <a:xfrm>
          <a:off x="7500937" y="369094"/>
          <a:ext cx="1422379" cy="1178720"/>
          <a:chOff x="7405687" y="357187"/>
          <a:chExt cx="1422379" cy="1178720"/>
        </a:xfrm>
      </xdr:grpSpPr>
      <xdr:pic>
        <xdr:nvPicPr>
          <xdr:cNvPr id="76" name="Рисунок 75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87771" r="6254" b="19716"/>
          <a:stretch/>
        </xdr:blipFill>
        <xdr:spPr>
          <a:xfrm>
            <a:off x="7893845" y="392907"/>
            <a:ext cx="462021" cy="1143000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33673" r="60541" b="19128"/>
          <a:stretch/>
        </xdr:blipFill>
        <xdr:spPr>
          <a:xfrm>
            <a:off x="8370091" y="357187"/>
            <a:ext cx="457975" cy="1178719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6978" r="77331" b="19643"/>
          <a:stretch/>
        </xdr:blipFill>
        <xdr:spPr>
          <a:xfrm>
            <a:off x="7405687" y="392906"/>
            <a:ext cx="439615" cy="1143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0</xdr:colOff>
      <xdr:row>18</xdr:row>
      <xdr:rowOff>256311</xdr:rowOff>
    </xdr:to>
    <xdr:pic>
      <xdr:nvPicPr>
        <xdr:cNvPr id="31" name="Рисунок 30" descr="накладка на входную дверь.jpg">
          <a:extLst>
            <a:ext uri="{FF2B5EF4-FFF2-40B4-BE49-F238E27FC236}">
              <a16:creationId xmlns:a16="http://schemas.microsoft.com/office/drawing/2014/main" xmlns="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125325" y="7362825"/>
          <a:ext cx="0" cy="50396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0</xdr:colOff>
      <xdr:row>30</xdr:row>
      <xdr:rowOff>142331</xdr:rowOff>
    </xdr:to>
    <xdr:pic>
      <xdr:nvPicPr>
        <xdr:cNvPr id="36" name="Рисунок 35" descr="галочка.png">
          <a:extLst>
            <a:ext uri="{FF2B5EF4-FFF2-40B4-BE49-F238E27FC236}">
              <a16:creationId xmlns:a16="http://schemas.microsoft.com/office/drawing/2014/main" xmlns="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0353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0</xdr:colOff>
      <xdr:row>30</xdr:row>
      <xdr:rowOff>137149</xdr:rowOff>
    </xdr:to>
    <xdr:pic>
      <xdr:nvPicPr>
        <xdr:cNvPr id="40" name="Рисунок 39" descr="галочка.png">
          <a:extLst>
            <a:ext uri="{FF2B5EF4-FFF2-40B4-BE49-F238E27FC236}">
              <a16:creationId xmlns:a16="http://schemas.microsoft.com/office/drawing/2014/main" xmlns="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0353675"/>
          <a:ext cx="0" cy="1371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0</xdr:colOff>
      <xdr:row>14</xdr:row>
      <xdr:rowOff>142331</xdr:rowOff>
    </xdr:to>
    <xdr:pic>
      <xdr:nvPicPr>
        <xdr:cNvPr id="41" name="Рисунок 40" descr="галочка.png">
          <a:extLst>
            <a:ext uri="{FF2B5EF4-FFF2-40B4-BE49-F238E27FC236}">
              <a16:creationId xmlns:a16="http://schemas.microsoft.com/office/drawing/2014/main" xmlns="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5325" y="66675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0</xdr:colOff>
      <xdr:row>14</xdr:row>
      <xdr:rowOff>142331</xdr:rowOff>
    </xdr:to>
    <xdr:pic>
      <xdr:nvPicPr>
        <xdr:cNvPr id="42" name="Рисунок 41" descr="галочка.png">
          <a:extLst>
            <a:ext uri="{FF2B5EF4-FFF2-40B4-BE49-F238E27FC236}">
              <a16:creationId xmlns:a16="http://schemas.microsoft.com/office/drawing/2014/main" xmlns="" id="{00000000-0008-0000-1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5325" y="6667500"/>
          <a:ext cx="0" cy="142331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30</xdr:row>
      <xdr:rowOff>0</xdr:rowOff>
    </xdr:from>
    <xdr:ext cx="0" cy="142331"/>
    <xdr:pic>
      <xdr:nvPicPr>
        <xdr:cNvPr id="43" name="Рисунок 42" descr="галочка.png">
          <a:extLst>
            <a:ext uri="{FF2B5EF4-FFF2-40B4-BE49-F238E27FC236}">
              <a16:creationId xmlns:a16="http://schemas.microsoft.com/office/drawing/2014/main" xmlns="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0353675"/>
          <a:ext cx="0" cy="142331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30</xdr:row>
      <xdr:rowOff>0</xdr:rowOff>
    </xdr:from>
    <xdr:to>
      <xdr:col>7</xdr:col>
      <xdr:colOff>0</xdr:colOff>
      <xdr:row>30</xdr:row>
      <xdr:rowOff>142331</xdr:rowOff>
    </xdr:to>
    <xdr:pic>
      <xdr:nvPicPr>
        <xdr:cNvPr id="47" name="Рисунок 46" descr="галочка.png">
          <a:extLst>
            <a:ext uri="{FF2B5EF4-FFF2-40B4-BE49-F238E27FC236}">
              <a16:creationId xmlns:a16="http://schemas.microsoft.com/office/drawing/2014/main" xmlns="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00700" y="10353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0</xdr:colOff>
      <xdr:row>30</xdr:row>
      <xdr:rowOff>137149</xdr:rowOff>
    </xdr:to>
    <xdr:pic>
      <xdr:nvPicPr>
        <xdr:cNvPr id="53" name="Рисунок 52" descr="галочка.png">
          <a:extLst>
            <a:ext uri="{FF2B5EF4-FFF2-40B4-BE49-F238E27FC236}">
              <a16:creationId xmlns:a16="http://schemas.microsoft.com/office/drawing/2014/main" xmlns="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00700" y="10353675"/>
          <a:ext cx="0" cy="137149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30</xdr:row>
      <xdr:rowOff>0</xdr:rowOff>
    </xdr:from>
    <xdr:to>
      <xdr:col>11</xdr:col>
      <xdr:colOff>738644</xdr:colOff>
      <xdr:row>30</xdr:row>
      <xdr:rowOff>131125</xdr:rowOff>
    </xdr:to>
    <xdr:pic>
      <xdr:nvPicPr>
        <xdr:cNvPr id="54" name="Рисунок 53" descr="галочка.png">
          <a:extLst>
            <a:ext uri="{FF2B5EF4-FFF2-40B4-BE49-F238E27FC236}">
              <a16:creationId xmlns:a16="http://schemas.microsoft.com/office/drawing/2014/main" xmlns="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855308" y="10353675"/>
          <a:ext cx="8661" cy="1311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</xdr:row>
      <xdr:rowOff>0</xdr:rowOff>
    </xdr:from>
    <xdr:to>
      <xdr:col>6</xdr:col>
      <xdr:colOff>9109</xdr:colOff>
      <xdr:row>30</xdr:row>
      <xdr:rowOff>56606</xdr:rowOff>
    </xdr:to>
    <xdr:pic>
      <xdr:nvPicPr>
        <xdr:cNvPr id="56" name="Рисунок 55" descr="галочка.png">
          <a:extLst>
            <a:ext uri="{FF2B5EF4-FFF2-40B4-BE49-F238E27FC236}">
              <a16:creationId xmlns:a16="http://schemas.microsoft.com/office/drawing/2014/main" xmlns="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19575" y="10353675"/>
          <a:ext cx="9109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10</xdr:col>
      <xdr:colOff>5123</xdr:colOff>
      <xdr:row>30</xdr:row>
      <xdr:rowOff>47081</xdr:rowOff>
    </xdr:to>
    <xdr:pic>
      <xdr:nvPicPr>
        <xdr:cNvPr id="57" name="Рисунок 56" descr="галочка.png">
          <a:extLst>
            <a:ext uri="{FF2B5EF4-FFF2-40B4-BE49-F238E27FC236}">
              <a16:creationId xmlns:a16="http://schemas.microsoft.com/office/drawing/2014/main" xmlns="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44200" y="103536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30</xdr:row>
      <xdr:rowOff>0</xdr:rowOff>
    </xdr:from>
    <xdr:to>
      <xdr:col>5</xdr:col>
      <xdr:colOff>730063</xdr:colOff>
      <xdr:row>30</xdr:row>
      <xdr:rowOff>56606</xdr:rowOff>
    </xdr:to>
    <xdr:pic>
      <xdr:nvPicPr>
        <xdr:cNvPr id="58" name="Рисунок 57" descr="галочка.png">
          <a:extLst>
            <a:ext uri="{FF2B5EF4-FFF2-40B4-BE49-F238E27FC236}">
              <a16:creationId xmlns:a16="http://schemas.microsoft.com/office/drawing/2014/main" xmlns="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168508" y="10353675"/>
          <a:ext cx="80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10</xdr:col>
      <xdr:colOff>5123</xdr:colOff>
      <xdr:row>30</xdr:row>
      <xdr:rowOff>47081</xdr:rowOff>
    </xdr:to>
    <xdr:pic>
      <xdr:nvPicPr>
        <xdr:cNvPr id="61" name="Рисунок 60" descr="галочка.png">
          <a:extLst>
            <a:ext uri="{FF2B5EF4-FFF2-40B4-BE49-F238E27FC236}">
              <a16:creationId xmlns:a16="http://schemas.microsoft.com/office/drawing/2014/main" xmlns="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44200" y="103536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0</xdr:rowOff>
    </xdr:from>
    <xdr:to>
      <xdr:col>4</xdr:col>
      <xdr:colOff>735106</xdr:colOff>
      <xdr:row>30</xdr:row>
      <xdr:rowOff>142331</xdr:rowOff>
    </xdr:to>
    <xdr:pic>
      <xdr:nvPicPr>
        <xdr:cNvPr id="62" name="Рисунок 61" descr="галочка.png">
          <a:extLst>
            <a:ext uri="{FF2B5EF4-FFF2-40B4-BE49-F238E27FC236}">
              <a16:creationId xmlns:a16="http://schemas.microsoft.com/office/drawing/2014/main" xmlns="" id="{00000000-0008-0000-1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7458" y="10353675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0</xdr:rowOff>
    </xdr:from>
    <xdr:to>
      <xdr:col>4</xdr:col>
      <xdr:colOff>735106</xdr:colOff>
      <xdr:row>30</xdr:row>
      <xdr:rowOff>142331</xdr:rowOff>
    </xdr:to>
    <xdr:pic>
      <xdr:nvPicPr>
        <xdr:cNvPr id="63" name="Рисунок 62" descr="галочка.png">
          <a:extLst>
            <a:ext uri="{FF2B5EF4-FFF2-40B4-BE49-F238E27FC236}">
              <a16:creationId xmlns:a16="http://schemas.microsoft.com/office/drawing/2014/main" xmlns="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7458" y="10353675"/>
          <a:ext cx="5123" cy="142331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27</xdr:row>
      <xdr:rowOff>0</xdr:rowOff>
    </xdr:from>
    <xdr:ext cx="9109" cy="56606"/>
    <xdr:pic>
      <xdr:nvPicPr>
        <xdr:cNvPr id="64" name="Рисунок 63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7905750"/>
          <a:ext cx="9109" cy="56606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27</xdr:row>
      <xdr:rowOff>0</xdr:rowOff>
    </xdr:from>
    <xdr:ext cx="9109" cy="56606"/>
    <xdr:pic>
      <xdr:nvPicPr>
        <xdr:cNvPr id="65" name="Рисунок 64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7905750"/>
          <a:ext cx="9109" cy="56606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27</xdr:row>
      <xdr:rowOff>0</xdr:rowOff>
    </xdr:from>
    <xdr:ext cx="9109" cy="56606"/>
    <xdr:pic>
      <xdr:nvPicPr>
        <xdr:cNvPr id="66" name="Рисунок 65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7905750"/>
          <a:ext cx="9109" cy="56606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27</xdr:row>
      <xdr:rowOff>0</xdr:rowOff>
    </xdr:from>
    <xdr:ext cx="9109" cy="56606"/>
    <xdr:pic>
      <xdr:nvPicPr>
        <xdr:cNvPr id="67" name="Рисунок 66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7905750"/>
          <a:ext cx="9109" cy="5660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79375</xdr:colOff>
      <xdr:row>2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817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348984</xdr:colOff>
      <xdr:row>10</xdr:row>
      <xdr:rowOff>0</xdr:rowOff>
    </xdr:from>
    <xdr:to>
      <xdr:col>9</xdr:col>
      <xdr:colOff>354107</xdr:colOff>
      <xdr:row>10</xdr:row>
      <xdr:rowOff>85181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30784" y="135636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10</xdr:row>
      <xdr:rowOff>0</xdr:rowOff>
    </xdr:from>
    <xdr:to>
      <xdr:col>11</xdr:col>
      <xdr:colOff>735106</xdr:colOff>
      <xdr:row>10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9558" y="135636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47623</xdr:colOff>
      <xdr:row>21</xdr:row>
      <xdr:rowOff>99844</xdr:rowOff>
    </xdr:from>
    <xdr:to>
      <xdr:col>10</xdr:col>
      <xdr:colOff>857249</xdr:colOff>
      <xdr:row>28</xdr:row>
      <xdr:rowOff>11912</xdr:rowOff>
    </xdr:to>
    <xdr:pic>
      <xdr:nvPicPr>
        <xdr:cNvPr id="29" name="Рисунок 28" descr="2023-01-25_11-03-14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t="55131" r="71611"/>
        <a:stretch>
          <a:fillRect/>
        </a:stretch>
      </xdr:blipFill>
      <xdr:spPr>
        <a:xfrm>
          <a:off x="8120061" y="7326938"/>
          <a:ext cx="2190751" cy="1245568"/>
        </a:xfrm>
        <a:prstGeom prst="rect">
          <a:avLst/>
        </a:prstGeom>
      </xdr:spPr>
    </xdr:pic>
    <xdr:clientData/>
  </xdr:twoCellAnchor>
  <xdr:twoCellAnchor editAs="oneCell">
    <xdr:from>
      <xdr:col>10</xdr:col>
      <xdr:colOff>73535</xdr:colOff>
      <xdr:row>30</xdr:row>
      <xdr:rowOff>32914</xdr:rowOff>
    </xdr:from>
    <xdr:to>
      <xdr:col>10</xdr:col>
      <xdr:colOff>930788</xdr:colOff>
      <xdr:row>37</xdr:row>
      <xdr:rowOff>170775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r="48683"/>
        <a:stretch/>
      </xdr:blipFill>
      <xdr:spPr>
        <a:xfrm>
          <a:off x="9520094" y="9849267"/>
          <a:ext cx="857253" cy="1471361"/>
        </a:xfrm>
        <a:prstGeom prst="rect">
          <a:avLst/>
        </a:prstGeom>
      </xdr:spPr>
    </xdr:pic>
    <xdr:clientData/>
  </xdr:twoCellAnchor>
  <xdr:twoCellAnchor editAs="oneCell">
    <xdr:from>
      <xdr:col>9</xdr:col>
      <xdr:colOff>11903</xdr:colOff>
      <xdr:row>29</xdr:row>
      <xdr:rowOff>188118</xdr:rowOff>
    </xdr:from>
    <xdr:to>
      <xdr:col>9</xdr:col>
      <xdr:colOff>714374</xdr:colOff>
      <xdr:row>37</xdr:row>
      <xdr:rowOff>122701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59760"/>
        <a:stretch/>
      </xdr:blipFill>
      <xdr:spPr>
        <a:xfrm>
          <a:off x="8084341" y="8939212"/>
          <a:ext cx="702471" cy="14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661148</xdr:colOff>
      <xdr:row>29</xdr:row>
      <xdr:rowOff>33616</xdr:rowOff>
    </xdr:from>
    <xdr:to>
      <xdr:col>6</xdr:col>
      <xdr:colOff>752353</xdr:colOff>
      <xdr:row>37</xdr:row>
      <xdr:rowOff>179292</xdr:rowOff>
    </xdr:to>
    <xdr:pic>
      <xdr:nvPicPr>
        <xdr:cNvPr id="12" name="Рисунок 11" descr="Unit-Slot - для прайс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3736" y="9659469"/>
          <a:ext cx="2444441" cy="166967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672354</xdr:colOff>
      <xdr:row>20</xdr:row>
      <xdr:rowOff>212911</xdr:rowOff>
    </xdr:from>
    <xdr:to>
      <xdr:col>8</xdr:col>
      <xdr:colOff>812619</xdr:colOff>
      <xdr:row>29</xdr:row>
      <xdr:rowOff>22412</xdr:rowOff>
    </xdr:to>
    <xdr:pic>
      <xdr:nvPicPr>
        <xdr:cNvPr id="13" name="Рисунок 12" descr="Unit - для прайс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54942" y="8090646"/>
          <a:ext cx="4846736" cy="15576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6</xdr:col>
      <xdr:colOff>5123</xdr:colOff>
      <xdr:row>7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5123</xdr:colOff>
      <xdr:row>7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21</xdr:row>
      <xdr:rowOff>190499</xdr:rowOff>
    </xdr:from>
    <xdr:to>
      <xdr:col>3</xdr:col>
      <xdr:colOff>690562</xdr:colOff>
      <xdr:row>29</xdr:row>
      <xdr:rowOff>157162</xdr:rowOff>
    </xdr:to>
    <xdr:pic>
      <xdr:nvPicPr>
        <xdr:cNvPr id="16" name="Рисунок 15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r="74272"/>
        <a:stretch/>
      </xdr:blipFill>
      <xdr:spPr>
        <a:xfrm>
          <a:off x="1940720" y="4941093"/>
          <a:ext cx="631030" cy="1490663"/>
        </a:xfrm>
        <a:prstGeom prst="rect">
          <a:avLst/>
        </a:prstGeom>
      </xdr:spPr>
    </xdr:pic>
    <xdr:clientData/>
  </xdr:twoCellAnchor>
  <xdr:twoCellAnchor editAs="oneCell">
    <xdr:from>
      <xdr:col>2</xdr:col>
      <xdr:colOff>690560</xdr:colOff>
      <xdr:row>11</xdr:row>
      <xdr:rowOff>23813</xdr:rowOff>
    </xdr:from>
    <xdr:to>
      <xdr:col>3</xdr:col>
      <xdr:colOff>702466</xdr:colOff>
      <xdr:row>18</xdr:row>
      <xdr:rowOff>35719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5411"/>
        <a:stretch/>
      </xdr:blipFill>
      <xdr:spPr>
        <a:xfrm>
          <a:off x="1785935" y="4131469"/>
          <a:ext cx="797719" cy="1476374"/>
        </a:xfrm>
        <a:prstGeom prst="rect">
          <a:avLst/>
        </a:prstGeom>
      </xdr:spPr>
    </xdr:pic>
    <xdr:clientData/>
  </xdr:twoCellAnchor>
  <xdr:twoCellAnchor editAs="oneCell">
    <xdr:from>
      <xdr:col>3</xdr:col>
      <xdr:colOff>607218</xdr:colOff>
      <xdr:row>11</xdr:row>
      <xdr:rowOff>59533</xdr:rowOff>
    </xdr:from>
    <xdr:to>
      <xdr:col>4</xdr:col>
      <xdr:colOff>460719</xdr:colOff>
      <xdr:row>17</xdr:row>
      <xdr:rowOff>202407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36904" t="5640" r="38630" b="10978"/>
        <a:stretch/>
      </xdr:blipFill>
      <xdr:spPr>
        <a:xfrm>
          <a:off x="2488406" y="4167189"/>
          <a:ext cx="639313" cy="1393030"/>
        </a:xfrm>
        <a:prstGeom prst="rect">
          <a:avLst/>
        </a:prstGeom>
      </xdr:spPr>
    </xdr:pic>
    <xdr:clientData/>
  </xdr:twoCellAnchor>
  <xdr:twoCellAnchor editAs="oneCell">
    <xdr:from>
      <xdr:col>4</xdr:col>
      <xdr:colOff>488156</xdr:colOff>
      <xdr:row>10</xdr:row>
      <xdr:rowOff>190499</xdr:rowOff>
    </xdr:from>
    <xdr:to>
      <xdr:col>5</xdr:col>
      <xdr:colOff>261937</xdr:colOff>
      <xdr:row>18</xdr:row>
      <xdr:rowOff>28414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75457" r="2912" b="8872"/>
        <a:stretch/>
      </xdr:blipFill>
      <xdr:spPr>
        <a:xfrm>
          <a:off x="3155156" y="4071937"/>
          <a:ext cx="559594" cy="152860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22</xdr:row>
      <xdr:rowOff>21431</xdr:rowOff>
    </xdr:from>
    <xdr:to>
      <xdr:col>4</xdr:col>
      <xdr:colOff>631030</xdr:colOff>
      <xdr:row>29</xdr:row>
      <xdr:rowOff>178594</xdr:rowOff>
    </xdr:to>
    <xdr:pic>
      <xdr:nvPicPr>
        <xdr:cNvPr id="8" name="Рисунок 7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37961" r="38253"/>
        <a:stretch/>
      </xdr:blipFill>
      <xdr:spPr>
        <a:xfrm>
          <a:off x="2714624" y="4962525"/>
          <a:ext cx="583406" cy="1490663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22</xdr:row>
      <xdr:rowOff>9523</xdr:rowOff>
    </xdr:from>
    <xdr:to>
      <xdr:col>5</xdr:col>
      <xdr:colOff>652465</xdr:colOff>
      <xdr:row>29</xdr:row>
      <xdr:rowOff>166686</xdr:rowOff>
    </xdr:to>
    <xdr:pic>
      <xdr:nvPicPr>
        <xdr:cNvPr id="11" name="Рисунок 10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74854"/>
        <a:stretch/>
      </xdr:blipFill>
      <xdr:spPr>
        <a:xfrm>
          <a:off x="3488532" y="4950617"/>
          <a:ext cx="616746" cy="149066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5123</xdr:colOff>
      <xdr:row>7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5123</xdr:colOff>
      <xdr:row>7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892969</xdr:colOff>
      <xdr:row>11</xdr:row>
      <xdr:rowOff>167970</xdr:rowOff>
    </xdr:from>
    <xdr:to>
      <xdr:col>8</xdr:col>
      <xdr:colOff>1381124</xdr:colOff>
      <xdr:row>17</xdr:row>
      <xdr:rowOff>154782</xdr:rowOff>
    </xdr:to>
    <xdr:pic>
      <xdr:nvPicPr>
        <xdr:cNvPr id="14" name="Рисунок 13" descr="Space2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flipV="1">
          <a:off x="8060532" y="2858783"/>
          <a:ext cx="488155" cy="1236968"/>
        </a:xfrm>
        <a:prstGeom prst="rect">
          <a:avLst/>
        </a:prstGeom>
      </xdr:spPr>
    </xdr:pic>
    <xdr:clientData/>
  </xdr:twoCellAnchor>
  <xdr:twoCellAnchor editAs="oneCell">
    <xdr:from>
      <xdr:col>8</xdr:col>
      <xdr:colOff>160062</xdr:colOff>
      <xdr:row>11</xdr:row>
      <xdr:rowOff>154780</xdr:rowOff>
    </xdr:from>
    <xdr:to>
      <xdr:col>8</xdr:col>
      <xdr:colOff>671774</xdr:colOff>
      <xdr:row>17</xdr:row>
      <xdr:rowOff>178593</xdr:rowOff>
    </xdr:to>
    <xdr:pic>
      <xdr:nvPicPr>
        <xdr:cNvPr id="15" name="Рисунок 14" descr="Space1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27625" y="2845593"/>
          <a:ext cx="511712" cy="1273969"/>
        </a:xfrm>
        <a:prstGeom prst="rect">
          <a:avLst/>
        </a:prstGeom>
      </xdr:spPr>
    </xdr:pic>
    <xdr:clientData/>
  </xdr:twoCellAnchor>
  <xdr:twoCellAnchor editAs="oneCell">
    <xdr:from>
      <xdr:col>7</xdr:col>
      <xdr:colOff>881060</xdr:colOff>
      <xdr:row>11</xdr:row>
      <xdr:rowOff>154782</xdr:rowOff>
    </xdr:from>
    <xdr:to>
      <xdr:col>7</xdr:col>
      <xdr:colOff>1393030</xdr:colOff>
      <xdr:row>17</xdr:row>
      <xdr:rowOff>179237</xdr:rowOff>
    </xdr:to>
    <xdr:pic>
      <xdr:nvPicPr>
        <xdr:cNvPr id="17" name="Рисунок 16" descr="Space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84154" y="2845595"/>
          <a:ext cx="511970" cy="1274611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142874</xdr:colOff>
      <xdr:row>11</xdr:row>
      <xdr:rowOff>156877</xdr:rowOff>
    </xdr:from>
    <xdr:to>
      <xdr:col>7</xdr:col>
      <xdr:colOff>678656</xdr:colOff>
      <xdr:row>17</xdr:row>
      <xdr:rowOff>178591</xdr:rowOff>
    </xdr:to>
    <xdr:pic>
      <xdr:nvPicPr>
        <xdr:cNvPr id="19" name="Рисунок 18" descr="Space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flipV="1">
          <a:off x="5845968" y="2847690"/>
          <a:ext cx="535782" cy="1271870"/>
        </a:xfrm>
        <a:prstGeom prst="rect">
          <a:avLst/>
        </a:prstGeom>
      </xdr:spPr>
    </xdr:pic>
    <xdr:clientData/>
  </xdr:twoCellAnchor>
  <xdr:twoCellAnchor editAs="oneCell">
    <xdr:from>
      <xdr:col>8</xdr:col>
      <xdr:colOff>760804</xdr:colOff>
      <xdr:row>22</xdr:row>
      <xdr:rowOff>71438</xdr:rowOff>
    </xdr:from>
    <xdr:to>
      <xdr:col>8</xdr:col>
      <xdr:colOff>1309688</xdr:colOff>
      <xdr:row>29</xdr:row>
      <xdr:rowOff>47626</xdr:rowOff>
    </xdr:to>
    <xdr:pic>
      <xdr:nvPicPr>
        <xdr:cNvPr id="20" name="Рисунок 19" descr="Anse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28367" y="5012532"/>
          <a:ext cx="548884" cy="1309688"/>
        </a:xfrm>
        <a:prstGeom prst="rect">
          <a:avLst/>
        </a:prstGeom>
      </xdr:spPr>
    </xdr:pic>
    <xdr:clientData/>
  </xdr:twoCellAnchor>
  <xdr:twoCellAnchor editAs="oneCell">
    <xdr:from>
      <xdr:col>8</xdr:col>
      <xdr:colOff>21902</xdr:colOff>
      <xdr:row>22</xdr:row>
      <xdr:rowOff>83343</xdr:rowOff>
    </xdr:from>
    <xdr:to>
      <xdr:col>8</xdr:col>
      <xdr:colOff>545405</xdr:colOff>
      <xdr:row>29</xdr:row>
      <xdr:rowOff>45843</xdr:rowOff>
    </xdr:to>
    <xdr:pic>
      <xdr:nvPicPr>
        <xdr:cNvPr id="21" name="Рисунок 20" descr="Anse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89465" y="5024437"/>
          <a:ext cx="523503" cy="12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762001</xdr:colOff>
      <xdr:row>22</xdr:row>
      <xdr:rowOff>95250</xdr:rowOff>
    </xdr:from>
    <xdr:to>
      <xdr:col>7</xdr:col>
      <xdr:colOff>1285504</xdr:colOff>
      <xdr:row>29</xdr:row>
      <xdr:rowOff>57750</xdr:rowOff>
    </xdr:to>
    <xdr:pic>
      <xdr:nvPicPr>
        <xdr:cNvPr id="22" name="Рисунок 21" descr="Anse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65095" y="5036344"/>
          <a:ext cx="523503" cy="1296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729983</xdr:colOff>
      <xdr:row>17</xdr:row>
      <xdr:rowOff>0</xdr:rowOff>
    </xdr:from>
    <xdr:to>
      <xdr:col>4</xdr:col>
      <xdr:colOff>735106</xdr:colOff>
      <xdr:row>17</xdr:row>
      <xdr:rowOff>142331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1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35512" y="7817047"/>
          <a:ext cx="138473" cy="142331"/>
        </a:xfrm>
        <a:prstGeom prst="rect">
          <a:avLst/>
        </a:prstGeom>
      </xdr:spPr>
    </xdr:pic>
    <xdr:clientData/>
  </xdr:twoCellAnchor>
  <xdr:twoCellAnchor>
    <xdr:from>
      <xdr:col>10</xdr:col>
      <xdr:colOff>445060</xdr:colOff>
      <xdr:row>17</xdr:row>
      <xdr:rowOff>0</xdr:rowOff>
    </xdr:from>
    <xdr:to>
      <xdr:col>10</xdr:col>
      <xdr:colOff>1053015</xdr:colOff>
      <xdr:row>19</xdr:row>
      <xdr:rowOff>2462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08185" y="7150891"/>
          <a:ext cx="607955" cy="1388352"/>
        </a:xfrm>
        <a:prstGeom prst="rect">
          <a:avLst/>
        </a:prstGeom>
      </xdr:spPr>
    </xdr:pic>
    <xdr:clientData/>
  </xdr:twoCellAnchor>
  <xdr:twoCellAnchor>
    <xdr:from>
      <xdr:col>9</xdr:col>
      <xdr:colOff>379720</xdr:colOff>
      <xdr:row>17</xdr:row>
      <xdr:rowOff>6508</xdr:rowOff>
    </xdr:from>
    <xdr:to>
      <xdr:col>9</xdr:col>
      <xdr:colOff>987675</xdr:colOff>
      <xdr:row>19</xdr:row>
      <xdr:rowOff>25642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1720" y="7174071"/>
          <a:ext cx="607955" cy="1388352"/>
        </a:xfrm>
        <a:prstGeom prst="rect">
          <a:avLst/>
        </a:prstGeom>
      </xdr:spPr>
    </xdr:pic>
    <xdr:clientData/>
  </xdr:twoCellAnchor>
  <xdr:twoCellAnchor>
    <xdr:from>
      <xdr:col>6</xdr:col>
      <xdr:colOff>425824</xdr:colOff>
      <xdr:row>1</xdr:row>
      <xdr:rowOff>139700</xdr:rowOff>
    </xdr:from>
    <xdr:to>
      <xdr:col>8</xdr:col>
      <xdr:colOff>902152</xdr:colOff>
      <xdr:row>3</xdr:row>
      <xdr:rowOff>73948</xdr:rowOff>
    </xdr:to>
    <xdr:grpSp>
      <xdr:nvGrpSpPr>
        <xdr:cNvPr id="39" name="Группа 38">
          <a:extLst>
            <a:ext uri="{FF2B5EF4-FFF2-40B4-BE49-F238E27FC236}">
              <a16:creationId xmlns="" xmlns:a16="http://schemas.microsoft.com/office/drawing/2014/main" id="{00000000-0008-0000-1100-000027000000}"/>
            </a:ext>
          </a:extLst>
        </xdr:cNvPr>
        <xdr:cNvGrpSpPr/>
      </xdr:nvGrpSpPr>
      <xdr:grpSpPr>
        <a:xfrm>
          <a:off x="4664449" y="377825"/>
          <a:ext cx="3238578" cy="1172498"/>
          <a:chOff x="9396853" y="1243255"/>
          <a:chExt cx="3221770" cy="1396242"/>
        </a:xfrm>
      </xdr:grpSpPr>
      <xdr:pic>
        <xdr:nvPicPr>
          <xdr:cNvPr id="40" name="Рисунок 39" descr="корсика.png">
            <a:extLst>
              <a:ext uri="{FF2B5EF4-FFF2-40B4-BE49-F238E27FC236}">
                <a16:creationId xmlns="" xmlns:a16="http://schemas.microsoft.com/office/drawing/2014/main" id="{00000000-0008-0000-11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9396853" y="1255162"/>
            <a:ext cx="525549" cy="1372429"/>
          </a:xfrm>
          <a:prstGeom prst="rect">
            <a:avLst/>
          </a:prstGeom>
        </xdr:spPr>
      </xdr:pic>
      <xdr:pic>
        <xdr:nvPicPr>
          <xdr:cNvPr id="43" name="Рисунок 42" descr="корсика.png">
            <a:extLst>
              <a:ext uri="{FF2B5EF4-FFF2-40B4-BE49-F238E27FC236}">
                <a16:creationId xmlns="" xmlns:a16="http://schemas.microsoft.com/office/drawing/2014/main" id="{00000000-0008-0000-11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0750673" y="1267068"/>
            <a:ext cx="525549" cy="1372429"/>
          </a:xfrm>
          <a:prstGeom prst="rect">
            <a:avLst/>
          </a:prstGeom>
        </xdr:spPr>
      </xdr:pic>
      <xdr:pic>
        <xdr:nvPicPr>
          <xdr:cNvPr id="44" name="Рисунок 43" descr="корсика.png">
            <a:extLst>
              <a:ext uri="{FF2B5EF4-FFF2-40B4-BE49-F238E27FC236}">
                <a16:creationId xmlns="" xmlns:a16="http://schemas.microsoft.com/office/drawing/2014/main" id="{00000000-0008-0000-11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2093074" y="1243255"/>
            <a:ext cx="525549" cy="1372429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383560</xdr:colOff>
      <xdr:row>1</xdr:row>
      <xdr:rowOff>125287</xdr:rowOff>
    </xdr:from>
    <xdr:to>
      <xdr:col>9</xdr:col>
      <xdr:colOff>921211</xdr:colOff>
      <xdr:row>3</xdr:row>
      <xdr:rowOff>62434</xdr:rowOff>
    </xdr:to>
    <xdr:pic>
      <xdr:nvPicPr>
        <xdr:cNvPr id="55" name="Рисунок 54" descr="корсика.png">
          <a:extLst>
            <a:ext uri="{FF2B5EF4-FFF2-40B4-BE49-F238E27FC236}">
              <a16:creationId xmlns="" xmlns:a16="http://schemas.microsoft.com/office/drawing/2014/main" id="{00000000-0008-0000-1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5560" y="1494506"/>
          <a:ext cx="537651" cy="1175397"/>
        </a:xfrm>
        <a:prstGeom prst="rect">
          <a:avLst/>
        </a:prstGeom>
      </xdr:spPr>
    </xdr:pic>
    <xdr:clientData/>
  </xdr:twoCellAnchor>
  <xdr:twoCellAnchor>
    <xdr:from>
      <xdr:col>10</xdr:col>
      <xdr:colOff>451892</xdr:colOff>
      <xdr:row>1</xdr:row>
      <xdr:rowOff>114300</xdr:rowOff>
    </xdr:from>
    <xdr:to>
      <xdr:col>10</xdr:col>
      <xdr:colOff>989033</xdr:colOff>
      <xdr:row>3</xdr:row>
      <xdr:rowOff>72630</xdr:rowOff>
    </xdr:to>
    <xdr:pic>
      <xdr:nvPicPr>
        <xdr:cNvPr id="56" name="Рисунок 55" descr="корсика.png">
          <a:extLst>
            <a:ext uri="{FF2B5EF4-FFF2-40B4-BE49-F238E27FC236}">
              <a16:creationId xmlns="" xmlns:a16="http://schemas.microsoft.com/office/drawing/2014/main" id="{00000000-0008-0000-1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15017" y="1483519"/>
          <a:ext cx="537141" cy="1196580"/>
        </a:xfrm>
        <a:prstGeom prst="rect">
          <a:avLst/>
        </a:prstGeom>
      </xdr:spPr>
    </xdr:pic>
    <xdr:clientData/>
  </xdr:twoCellAnchor>
  <xdr:twoCellAnchor editAs="oneCell">
    <xdr:from>
      <xdr:col>8</xdr:col>
      <xdr:colOff>575201</xdr:colOff>
      <xdr:row>21</xdr:row>
      <xdr:rowOff>166688</xdr:rowOff>
    </xdr:from>
    <xdr:to>
      <xdr:col>8</xdr:col>
      <xdr:colOff>580324</xdr:colOff>
      <xdr:row>22</xdr:row>
      <xdr:rowOff>99469</xdr:rowOff>
    </xdr:to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76076" y="9322594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17</xdr:row>
      <xdr:rowOff>0</xdr:rowOff>
    </xdr:from>
    <xdr:to>
      <xdr:col>5</xdr:col>
      <xdr:colOff>755516</xdr:colOff>
      <xdr:row>17</xdr:row>
      <xdr:rowOff>123281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11</xdr:col>
      <xdr:colOff>392906</xdr:colOff>
      <xdr:row>1</xdr:row>
      <xdr:rowOff>131851</xdr:rowOff>
    </xdr:from>
    <xdr:to>
      <xdr:col>11</xdr:col>
      <xdr:colOff>912242</xdr:colOff>
      <xdr:row>3</xdr:row>
      <xdr:rowOff>79356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918281" y="1501070"/>
          <a:ext cx="519336" cy="1185755"/>
        </a:xfrm>
        <a:prstGeom prst="rect">
          <a:avLst/>
        </a:prstGeom>
      </xdr:spPr>
    </xdr:pic>
    <xdr:clientData/>
  </xdr:twoCellAnchor>
  <xdr:twoCellAnchor>
    <xdr:from>
      <xdr:col>12</xdr:col>
      <xdr:colOff>260711</xdr:colOff>
      <xdr:row>1</xdr:row>
      <xdr:rowOff>119293</xdr:rowOff>
    </xdr:from>
    <xdr:to>
      <xdr:col>12</xdr:col>
      <xdr:colOff>780047</xdr:colOff>
      <xdr:row>3</xdr:row>
      <xdr:rowOff>66798</xdr:rowOff>
    </xdr:to>
    <xdr:pic>
      <xdr:nvPicPr>
        <xdr:cNvPr id="26" name="Рисунок 25" descr="корсика.png"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167211" y="1488512"/>
          <a:ext cx="519336" cy="1185755"/>
        </a:xfrm>
        <a:prstGeom prst="rect">
          <a:avLst/>
        </a:prstGeom>
      </xdr:spPr>
    </xdr:pic>
    <xdr:clientData/>
  </xdr:twoCellAnchor>
  <xdr:twoCellAnchor>
    <xdr:from>
      <xdr:col>13</xdr:col>
      <xdr:colOff>218507</xdr:colOff>
      <xdr:row>1</xdr:row>
      <xdr:rowOff>130969</xdr:rowOff>
    </xdr:from>
    <xdr:to>
      <xdr:col>13</xdr:col>
      <xdr:colOff>769805</xdr:colOff>
      <xdr:row>3</xdr:row>
      <xdr:rowOff>92672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624945" y="369094"/>
          <a:ext cx="551298" cy="11999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321016</xdr:colOff>
      <xdr:row>1</xdr:row>
      <xdr:rowOff>211929</xdr:rowOff>
    </xdr:from>
    <xdr:to>
      <xdr:col>6</xdr:col>
      <xdr:colOff>809212</xdr:colOff>
      <xdr:row>3</xdr:row>
      <xdr:rowOff>14505</xdr:rowOff>
    </xdr:to>
    <xdr:pic>
      <xdr:nvPicPr>
        <xdr:cNvPr id="8" name="Рисунок 7" descr="корсика.png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559641" y="450054"/>
          <a:ext cx="488196" cy="1100357"/>
        </a:xfrm>
        <a:prstGeom prst="rect">
          <a:avLst/>
        </a:prstGeom>
      </xdr:spPr>
    </xdr:pic>
    <xdr:clientData/>
  </xdr:twoCellAnchor>
  <xdr:twoCellAnchor>
    <xdr:from>
      <xdr:col>8</xdr:col>
      <xdr:colOff>493448</xdr:colOff>
      <xdr:row>2</xdr:row>
      <xdr:rowOff>9523</xdr:rowOff>
    </xdr:from>
    <xdr:to>
      <xdr:col>8</xdr:col>
      <xdr:colOff>981644</xdr:colOff>
      <xdr:row>3</xdr:row>
      <xdr:rowOff>23812</xdr:rowOff>
    </xdr:to>
    <xdr:pic>
      <xdr:nvPicPr>
        <xdr:cNvPr id="9" name="Рисунок 8" descr="корсика.png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494323" y="473867"/>
          <a:ext cx="488196" cy="1085851"/>
        </a:xfrm>
        <a:prstGeom prst="rect">
          <a:avLst/>
        </a:prstGeom>
      </xdr:spPr>
    </xdr:pic>
    <xdr:clientData/>
  </xdr:twoCellAnchor>
  <xdr:twoCellAnchor>
    <xdr:from>
      <xdr:col>10</xdr:col>
      <xdr:colOff>388580</xdr:colOff>
      <xdr:row>1</xdr:row>
      <xdr:rowOff>200023</xdr:rowOff>
    </xdr:from>
    <xdr:to>
      <xdr:col>10</xdr:col>
      <xdr:colOff>876776</xdr:colOff>
      <xdr:row>3</xdr:row>
      <xdr:rowOff>2599</xdr:rowOff>
    </xdr:to>
    <xdr:pic>
      <xdr:nvPicPr>
        <xdr:cNvPr id="10" name="Рисунок 9" descr="корсика.png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151705" y="438148"/>
          <a:ext cx="488196" cy="1100357"/>
        </a:xfrm>
        <a:prstGeom prst="rect">
          <a:avLst/>
        </a:prstGeom>
      </xdr:spPr>
    </xdr:pic>
    <xdr:clientData/>
  </xdr:twoCellAnchor>
  <xdr:twoCellAnchor>
    <xdr:from>
      <xdr:col>7</xdr:col>
      <xdr:colOff>390257</xdr:colOff>
      <xdr:row>1</xdr:row>
      <xdr:rowOff>226216</xdr:rowOff>
    </xdr:from>
    <xdr:to>
      <xdr:col>7</xdr:col>
      <xdr:colOff>855283</xdr:colOff>
      <xdr:row>2</xdr:row>
      <xdr:rowOff>1059656</xdr:rowOff>
    </xdr:to>
    <xdr:pic>
      <xdr:nvPicPr>
        <xdr:cNvPr id="17" name="Рисунок 16" descr="корсика.png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0007" y="464341"/>
          <a:ext cx="465026" cy="1059659"/>
        </a:xfrm>
        <a:prstGeom prst="rect">
          <a:avLst/>
        </a:prstGeom>
      </xdr:spPr>
    </xdr:pic>
    <xdr:clientData/>
  </xdr:twoCellAnchor>
  <xdr:twoCellAnchor>
    <xdr:from>
      <xdr:col>9</xdr:col>
      <xdr:colOff>523984</xdr:colOff>
      <xdr:row>1</xdr:row>
      <xdr:rowOff>216912</xdr:rowOff>
    </xdr:from>
    <xdr:to>
      <xdr:col>9</xdr:col>
      <xdr:colOff>987142</xdr:colOff>
      <xdr:row>3</xdr:row>
      <xdr:rowOff>0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1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05984" y="455037"/>
          <a:ext cx="463158" cy="1080869"/>
        </a:xfrm>
        <a:prstGeom prst="rect">
          <a:avLst/>
        </a:prstGeom>
      </xdr:spPr>
    </xdr:pic>
    <xdr:clientData/>
  </xdr:twoCellAnchor>
  <xdr:twoCellAnchor>
    <xdr:from>
      <xdr:col>11</xdr:col>
      <xdr:colOff>376592</xdr:colOff>
      <xdr:row>1</xdr:row>
      <xdr:rowOff>216911</xdr:rowOff>
    </xdr:from>
    <xdr:to>
      <xdr:col>11</xdr:col>
      <xdr:colOff>821531</xdr:colOff>
      <xdr:row>3</xdr:row>
      <xdr:rowOff>18393</xdr:rowOff>
    </xdr:to>
    <xdr:pic>
      <xdr:nvPicPr>
        <xdr:cNvPr id="19" name="Рисунок 18" descr="корсика.png">
          <a:extLst>
            <a:ext uri="{FF2B5EF4-FFF2-40B4-BE49-F238E27FC236}">
              <a16:creationId xmlns="" xmlns:a16="http://schemas.microsoft.com/office/drawing/2014/main" id="{00000000-0008-0000-1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520842" y="455036"/>
          <a:ext cx="444939" cy="109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15</xdr:row>
      <xdr:rowOff>0</xdr:rowOff>
    </xdr:from>
    <xdr:to>
      <xdr:col>9</xdr:col>
      <xdr:colOff>735106</xdr:colOff>
      <xdr:row>15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1808" y="92297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15</xdr:row>
      <xdr:rowOff>0</xdr:rowOff>
    </xdr:from>
    <xdr:to>
      <xdr:col>5</xdr:col>
      <xdr:colOff>755516</xdr:colOff>
      <xdr:row>15</xdr:row>
      <xdr:rowOff>123281</xdr:rowOff>
    </xdr:to>
    <xdr:pic>
      <xdr:nvPicPr>
        <xdr:cNvPr id="22" name="Рисунок 2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68508" y="9229725"/>
          <a:ext cx="25533" cy="1232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542986</xdr:colOff>
      <xdr:row>1</xdr:row>
      <xdr:rowOff>202406</xdr:rowOff>
    </xdr:from>
    <xdr:to>
      <xdr:col>6</xdr:col>
      <xdr:colOff>1078230</xdr:colOff>
      <xdr:row>2</xdr:row>
      <xdr:rowOff>1067844</xdr:rowOff>
    </xdr:to>
    <xdr:pic>
      <xdr:nvPicPr>
        <xdr:cNvPr id="4" name="Рисунок 3" descr="корсика.png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81611" y="440531"/>
          <a:ext cx="535244" cy="1091657"/>
        </a:xfrm>
        <a:prstGeom prst="rect">
          <a:avLst/>
        </a:prstGeom>
      </xdr:spPr>
    </xdr:pic>
    <xdr:clientData/>
  </xdr:twoCellAnchor>
  <xdr:twoCellAnchor>
    <xdr:from>
      <xdr:col>7</xdr:col>
      <xdr:colOff>712185</xdr:colOff>
      <xdr:row>1</xdr:row>
      <xdr:rowOff>190500</xdr:rowOff>
    </xdr:from>
    <xdr:to>
      <xdr:col>7</xdr:col>
      <xdr:colOff>1247067</xdr:colOff>
      <xdr:row>2</xdr:row>
      <xdr:rowOff>1055938</xdr:rowOff>
    </xdr:to>
    <xdr:pic>
      <xdr:nvPicPr>
        <xdr:cNvPr id="5" name="Рисунок 4" descr="корсика.png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72466" y="428625"/>
          <a:ext cx="534882" cy="1091657"/>
        </a:xfrm>
        <a:prstGeom prst="rect">
          <a:avLst/>
        </a:prstGeom>
      </xdr:spPr>
    </xdr:pic>
    <xdr:clientData/>
  </xdr:twoCellAnchor>
  <xdr:twoCellAnchor>
    <xdr:from>
      <xdr:col>9</xdr:col>
      <xdr:colOff>377777</xdr:colOff>
      <xdr:row>1</xdr:row>
      <xdr:rowOff>202406</xdr:rowOff>
    </xdr:from>
    <xdr:to>
      <xdr:col>9</xdr:col>
      <xdr:colOff>912659</xdr:colOff>
      <xdr:row>2</xdr:row>
      <xdr:rowOff>1067844</xdr:rowOff>
    </xdr:to>
    <xdr:pic>
      <xdr:nvPicPr>
        <xdr:cNvPr id="6" name="Рисунок 5" descr="корсика.png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759777" y="440531"/>
          <a:ext cx="534882" cy="1091657"/>
        </a:xfrm>
        <a:prstGeom prst="rect">
          <a:avLst/>
        </a:prstGeom>
      </xdr:spPr>
    </xdr:pic>
    <xdr:clientData/>
  </xdr:twoCellAnchor>
  <xdr:twoCellAnchor>
    <xdr:from>
      <xdr:col>6</xdr:col>
      <xdr:colOff>633052</xdr:colOff>
      <xdr:row>18</xdr:row>
      <xdr:rowOff>11908</xdr:rowOff>
    </xdr:from>
    <xdr:to>
      <xdr:col>6</xdr:col>
      <xdr:colOff>1076180</xdr:colOff>
      <xdr:row>18</xdr:row>
      <xdr:rowOff>1107282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1677" y="8096252"/>
          <a:ext cx="443128" cy="1095374"/>
        </a:xfrm>
        <a:prstGeom prst="rect">
          <a:avLst/>
        </a:prstGeom>
      </xdr:spPr>
    </xdr:pic>
    <xdr:clientData/>
  </xdr:twoCellAnchor>
  <xdr:twoCellAnchor>
    <xdr:from>
      <xdr:col>7</xdr:col>
      <xdr:colOff>709495</xdr:colOff>
      <xdr:row>18</xdr:row>
      <xdr:rowOff>18614</xdr:rowOff>
    </xdr:from>
    <xdr:to>
      <xdr:col>7</xdr:col>
      <xdr:colOff>1164360</xdr:colOff>
      <xdr:row>19</xdr:row>
      <xdr:rowOff>0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9776" y="8102958"/>
          <a:ext cx="454865" cy="1124386"/>
        </a:xfrm>
        <a:prstGeom prst="rect">
          <a:avLst/>
        </a:prstGeom>
      </xdr:spPr>
    </xdr:pic>
    <xdr:clientData/>
  </xdr:twoCellAnchor>
  <xdr:twoCellAnchor>
    <xdr:from>
      <xdr:col>8</xdr:col>
      <xdr:colOff>133885</xdr:colOff>
      <xdr:row>18</xdr:row>
      <xdr:rowOff>0</xdr:rowOff>
    </xdr:from>
    <xdr:to>
      <xdr:col>8</xdr:col>
      <xdr:colOff>600159</xdr:colOff>
      <xdr:row>19</xdr:row>
      <xdr:rowOff>11906</xdr:rowOff>
    </xdr:to>
    <xdr:pic>
      <xdr:nvPicPr>
        <xdr:cNvPr id="52" name="Рисунок 51" descr="корсика.png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34760" y="8536781"/>
          <a:ext cx="466274" cy="115490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18</xdr:row>
      <xdr:rowOff>0</xdr:rowOff>
    </xdr:from>
    <xdr:to>
      <xdr:col>8</xdr:col>
      <xdr:colOff>735106</xdr:colOff>
      <xdr:row>18</xdr:row>
      <xdr:rowOff>123281</xdr:rowOff>
    </xdr:to>
    <xdr:pic>
      <xdr:nvPicPr>
        <xdr:cNvPr id="31" name="Рисунок 3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18</xdr:row>
      <xdr:rowOff>0</xdr:rowOff>
    </xdr:from>
    <xdr:to>
      <xdr:col>5</xdr:col>
      <xdr:colOff>755516</xdr:colOff>
      <xdr:row>18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202407</xdr:colOff>
      <xdr:row>18</xdr:row>
      <xdr:rowOff>0</xdr:rowOff>
    </xdr:from>
    <xdr:to>
      <xdr:col>9</xdr:col>
      <xdr:colOff>678657</xdr:colOff>
      <xdr:row>19</xdr:row>
      <xdr:rowOff>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53190" r="38392" b="61648"/>
        <a:stretch/>
      </xdr:blipFill>
      <xdr:spPr>
        <a:xfrm>
          <a:off x="8048626" y="8524876"/>
          <a:ext cx="47625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160003</xdr:colOff>
      <xdr:row>18</xdr:row>
      <xdr:rowOff>11906</xdr:rowOff>
    </xdr:from>
    <xdr:to>
      <xdr:col>10</xdr:col>
      <xdr:colOff>654843</xdr:colOff>
      <xdr:row>19</xdr:row>
      <xdr:rowOff>20167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61428" r="29796" b="61241"/>
        <a:stretch/>
      </xdr:blipFill>
      <xdr:spPr>
        <a:xfrm>
          <a:off x="8851566" y="8548687"/>
          <a:ext cx="494840" cy="115126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579903</xdr:colOff>
      <xdr:row>1</xdr:row>
      <xdr:rowOff>212966</xdr:rowOff>
    </xdr:from>
    <xdr:to>
      <xdr:col>6</xdr:col>
      <xdr:colOff>1000125</xdr:colOff>
      <xdr:row>2</xdr:row>
      <xdr:rowOff>1114705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28" y="439185"/>
          <a:ext cx="420222" cy="1127958"/>
        </a:xfrm>
        <a:prstGeom prst="rect">
          <a:avLst/>
        </a:prstGeom>
      </xdr:spPr>
    </xdr:pic>
    <xdr:clientData/>
  </xdr:twoCellAnchor>
  <xdr:twoCellAnchor editAs="oneCell">
    <xdr:from>
      <xdr:col>7</xdr:col>
      <xdr:colOff>474988</xdr:colOff>
      <xdr:row>1</xdr:row>
      <xdr:rowOff>214312</xdr:rowOff>
    </xdr:from>
    <xdr:to>
      <xdr:col>7</xdr:col>
      <xdr:colOff>949557</xdr:colOff>
      <xdr:row>2</xdr:row>
      <xdr:rowOff>1131093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4738" y="440531"/>
          <a:ext cx="474569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495719</xdr:colOff>
      <xdr:row>1</xdr:row>
      <xdr:rowOff>214311</xdr:rowOff>
    </xdr:from>
    <xdr:to>
      <xdr:col>8</xdr:col>
      <xdr:colOff>1000125</xdr:colOff>
      <xdr:row>3</xdr:row>
      <xdr:rowOff>11459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594" y="440530"/>
          <a:ext cx="504406" cy="116636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33</xdr:row>
      <xdr:rowOff>0</xdr:rowOff>
    </xdr:from>
    <xdr:to>
      <xdr:col>3</xdr:col>
      <xdr:colOff>4191</xdr:colOff>
      <xdr:row>37</xdr:row>
      <xdr:rowOff>0</xdr:rowOff>
    </xdr:to>
    <xdr:pic>
      <xdr:nvPicPr>
        <xdr:cNvPr id="4" name="Рисунок 14" descr="накладка на входную дверь.jpg"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611975"/>
          <a:ext cx="4191" cy="49109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13927</xdr:colOff>
      <xdr:row>24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530333" y="10013400"/>
          <a:ext cx="13927" cy="470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319448</xdr:colOff>
      <xdr:row>24</xdr:row>
      <xdr:rowOff>47081</xdr:rowOff>
    </xdr:to>
    <xdr:pic>
      <xdr:nvPicPr>
        <xdr:cNvPr id="17" name="Рисунок 16" descr="галочка.png">
          <a:extLst>
            <a:ext uri="{FF2B5EF4-FFF2-40B4-BE49-F238E27FC236}">
              <a16:creationId xmlns="" xmlns:a16="http://schemas.microsoft.com/office/drawing/2014/main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71303" y="9800040"/>
          <a:ext cx="3218" cy="47081"/>
        </a:xfrm>
        <a:prstGeom prst="rect">
          <a:avLst/>
        </a:prstGeom>
      </xdr:spPr>
    </xdr:pic>
    <xdr:clientData/>
  </xdr:twoCellAnchor>
  <xdr:twoCellAnchor editAs="oneCell">
    <xdr:from>
      <xdr:col>3</xdr:col>
      <xdr:colOff>1488278</xdr:colOff>
      <xdr:row>21</xdr:row>
      <xdr:rowOff>197493</xdr:rowOff>
    </xdr:from>
    <xdr:to>
      <xdr:col>4</xdr:col>
      <xdr:colOff>769144</xdr:colOff>
      <xdr:row>31</xdr:row>
      <xdr:rowOff>107156</xdr:rowOff>
    </xdr:to>
    <xdr:pic>
      <xdr:nvPicPr>
        <xdr:cNvPr id="12" name="Рисунок 11" descr="корсика.png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1234" t="51594" r="33810"/>
        <a:stretch/>
      </xdr:blipFill>
      <xdr:spPr>
        <a:xfrm>
          <a:off x="3500434" y="6233962"/>
          <a:ext cx="976316" cy="2064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13" name="Рисунок 12" descr="галочка.png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90392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14" name="Рисунок 13" descr="галочка.png">
          <a:extLst>
            <a:ext uri="{FF2B5EF4-FFF2-40B4-BE49-F238E27FC236}">
              <a16:creationId xmlns:a16="http://schemas.microsoft.com/office/drawing/2014/main" xmlns="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90392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15" name="Рисунок 14" descr="галочка.png">
          <a:extLst>
            <a:ext uri="{FF2B5EF4-FFF2-40B4-BE49-F238E27FC236}">
              <a16:creationId xmlns:a16="http://schemas.microsoft.com/office/drawing/2014/main" xmlns="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90392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13927</xdr:colOff>
      <xdr:row>21</xdr:row>
      <xdr:rowOff>47081</xdr:rowOff>
    </xdr:to>
    <xdr:pic>
      <xdr:nvPicPr>
        <xdr:cNvPr id="18" name="Рисунок 17" descr="галочка.png">
          <a:extLst>
            <a:ext uri="{FF2B5EF4-FFF2-40B4-BE49-F238E27FC236}">
              <a16:creationId xmlns:a16="http://schemas.microsoft.com/office/drawing/2014/main" xmlns="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6038850"/>
          <a:ext cx="13927" cy="47081"/>
        </a:xfrm>
        <a:prstGeom prst="rect">
          <a:avLst/>
        </a:prstGeom>
      </xdr:spPr>
    </xdr:pic>
    <xdr:clientData/>
  </xdr:twoCellAnchor>
  <xdr:twoCellAnchor editAs="oneCell">
    <xdr:from>
      <xdr:col>2</xdr:col>
      <xdr:colOff>421910</xdr:colOff>
      <xdr:row>22</xdr:row>
      <xdr:rowOff>32777</xdr:rowOff>
    </xdr:from>
    <xdr:to>
      <xdr:col>3</xdr:col>
      <xdr:colOff>1297781</xdr:colOff>
      <xdr:row>31</xdr:row>
      <xdr:rowOff>164117</xdr:rowOff>
    </xdr:to>
    <xdr:pic>
      <xdr:nvPicPr>
        <xdr:cNvPr id="19" name="Рисунок 18" descr="корсика.png">
          <a:extLst>
            <a:ext uri="{FF2B5EF4-FFF2-40B4-BE49-F238E27FC236}">
              <a16:creationId xmlns:a16="http://schemas.microsoft.com/office/drawing/2014/main" xmlns="" id="{00000000-0008-0000-2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b="53026"/>
        <a:stretch/>
      </xdr:blipFill>
      <xdr:spPr>
        <a:xfrm>
          <a:off x="695754" y="6295465"/>
          <a:ext cx="2614183" cy="20601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319448</xdr:colOff>
      <xdr:row>21</xdr:row>
      <xdr:rowOff>47081</xdr:rowOff>
    </xdr:to>
    <xdr:pic>
      <xdr:nvPicPr>
        <xdr:cNvPr id="20" name="Рисунок 19" descr="галочка.png">
          <a:extLst>
            <a:ext uri="{FF2B5EF4-FFF2-40B4-BE49-F238E27FC236}">
              <a16:creationId xmlns:a16="http://schemas.microsoft.com/office/drawing/2014/main" xmlns="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6038850"/>
          <a:ext cx="319448" cy="4708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833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320</xdr:colOff>
      <xdr:row>26</xdr:row>
      <xdr:rowOff>47081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4358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5123</xdr:colOff>
      <xdr:row>26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77958" y="106039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592</xdr:colOff>
      <xdr:row>11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69342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3</xdr:col>
      <xdr:colOff>119228</xdr:colOff>
      <xdr:row>22</xdr:row>
      <xdr:rowOff>68251</xdr:rowOff>
    </xdr:from>
    <xdr:to>
      <xdr:col>4</xdr:col>
      <xdr:colOff>190669</xdr:colOff>
      <xdr:row>28</xdr:row>
      <xdr:rowOff>290788</xdr:rowOff>
    </xdr:to>
    <xdr:pic>
      <xdr:nvPicPr>
        <xdr:cNvPr id="13" name="Рисунок 12" descr="RAC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7010" y="5756420"/>
          <a:ext cx="1453236" cy="1711656"/>
        </a:xfrm>
        <a:prstGeom prst="rect">
          <a:avLst/>
        </a:prstGeom>
      </xdr:spPr>
    </xdr:pic>
    <xdr:clientData/>
  </xdr:twoCellAnchor>
  <xdr:twoCellAnchor editAs="oneCell">
    <xdr:from>
      <xdr:col>0</xdr:col>
      <xdr:colOff>86543</xdr:colOff>
      <xdr:row>22</xdr:row>
      <xdr:rowOff>39155</xdr:rowOff>
    </xdr:from>
    <xdr:to>
      <xdr:col>2</xdr:col>
      <xdr:colOff>2375067</xdr:colOff>
      <xdr:row>28</xdr:row>
      <xdr:rowOff>384355</xdr:rowOff>
    </xdr:to>
    <xdr:pic>
      <xdr:nvPicPr>
        <xdr:cNvPr id="30" name="Рисунок 29" descr="корсика.png">
          <a:extLst>
            <a:ext uri="{FF2B5EF4-FFF2-40B4-BE49-F238E27FC236}">
              <a16:creationId xmlns="" xmlns:a16="http://schemas.microsoft.com/office/drawing/2014/main" id="{00000000-0008-0000-28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b="50304"/>
        <a:stretch/>
      </xdr:blipFill>
      <xdr:spPr>
        <a:xfrm>
          <a:off x="86543" y="5727324"/>
          <a:ext cx="3146257" cy="183431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47081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47081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320</xdr:colOff>
      <xdr:row>40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47081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5123</xdr:colOff>
      <xdr:row>40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592</xdr:colOff>
      <xdr:row>10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0"/>
          <a:ext cx="592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123824</xdr:colOff>
      <xdr:row>32</xdr:row>
      <xdr:rowOff>546093</xdr:rowOff>
    </xdr:from>
    <xdr:to>
      <xdr:col>8</xdr:col>
      <xdr:colOff>1200150</xdr:colOff>
      <xdr:row>34</xdr:row>
      <xdr:rowOff>568209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b="7901"/>
        <a:stretch/>
      </xdr:blipFill>
      <xdr:spPr>
        <a:xfrm>
          <a:off x="6429374" y="8404218"/>
          <a:ext cx="4762501" cy="1269891"/>
        </a:xfrm>
        <a:prstGeom prst="rect">
          <a:avLst/>
        </a:prstGeom>
      </xdr:spPr>
    </xdr:pic>
    <xdr:clientData/>
  </xdr:twoCellAnchor>
  <xdr:twoCellAnchor editAs="oneCell">
    <xdr:from>
      <xdr:col>8</xdr:col>
      <xdr:colOff>44539</xdr:colOff>
      <xdr:row>26</xdr:row>
      <xdr:rowOff>26529</xdr:rowOff>
    </xdr:from>
    <xdr:to>
      <xdr:col>9</xdr:col>
      <xdr:colOff>739140</xdr:colOff>
      <xdr:row>30</xdr:row>
      <xdr:rowOff>228600</xdr:rowOff>
    </xdr:to>
    <xdr:grpSp>
      <xdr:nvGrpSpPr>
        <xdr:cNvPr id="10" name="Группа 9">
          <a:extLst>
            <a:ext uri="{FF2B5EF4-FFF2-40B4-BE49-F238E27FC236}">
              <a16:creationId xmlns="" xmlns:a16="http://schemas.microsoft.com/office/drawing/2014/main" id="{00000000-0008-0000-2B00-00000B000000}"/>
            </a:ext>
          </a:extLst>
        </xdr:cNvPr>
        <xdr:cNvGrpSpPr/>
      </xdr:nvGrpSpPr>
      <xdr:grpSpPr>
        <a:xfrm>
          <a:off x="8788489" y="6760704"/>
          <a:ext cx="1923326" cy="1354596"/>
          <a:chOff x="11268313" y="6485004"/>
          <a:chExt cx="5019057" cy="3663285"/>
        </a:xfrm>
      </xdr:grpSpPr>
      <xdr:pic>
        <xdr:nvPicPr>
          <xdr:cNvPr id="11" name="Рисунок 10">
            <a:extLst>
              <a:ext uri="{FF2B5EF4-FFF2-40B4-BE49-F238E27FC236}">
                <a16:creationId xmlns="" xmlns:a16="http://schemas.microsoft.com/office/drawing/2014/main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12" name="Рисунок 11">
            <a:extLst>
              <a:ext uri="{FF2B5EF4-FFF2-40B4-BE49-F238E27FC236}">
                <a16:creationId xmlns=""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=""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="" xmlns:a16="http://schemas.microsoft.com/office/drawing/2014/main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335281</xdr:colOff>
      <xdr:row>26</xdr:row>
      <xdr:rowOff>7620</xdr:rowOff>
    </xdr:from>
    <xdr:to>
      <xdr:col>7</xdr:col>
      <xdr:colOff>1021080</xdr:colOff>
      <xdr:row>30</xdr:row>
      <xdr:rowOff>175260</xdr:rowOff>
    </xdr:to>
    <xdr:grpSp>
      <xdr:nvGrpSpPr>
        <xdr:cNvPr id="15" name="Группа 14"/>
        <xdr:cNvGrpSpPr/>
      </xdr:nvGrpSpPr>
      <xdr:grpSpPr>
        <a:xfrm>
          <a:off x="5393056" y="6741795"/>
          <a:ext cx="3143249" cy="1320165"/>
          <a:chOff x="7868477" y="919371"/>
          <a:chExt cx="3639792" cy="1492353"/>
        </a:xfrm>
      </xdr:grpSpPr>
      <xdr:pic>
        <xdr:nvPicPr>
          <xdr:cNvPr id="16" name="Рисунок 15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17" name="Группа 16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18" name="Рисунок 1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20" name="Рисунок 1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21" name="Рисунок 2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22" name="Рисунок 2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23" name="Рисунок 2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85725</xdr:colOff>
      <xdr:row>35</xdr:row>
      <xdr:rowOff>104775</xdr:rowOff>
    </xdr:from>
    <xdr:to>
      <xdr:col>5</xdr:col>
      <xdr:colOff>890757</xdr:colOff>
      <xdr:row>35</xdr:row>
      <xdr:rowOff>464775</xdr:rowOff>
    </xdr:to>
    <xdr:pic>
      <xdr:nvPicPr>
        <xdr:cNvPr id="24" name="Рисунок 23" descr="horizont_antik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43500" y="10829925"/>
          <a:ext cx="805032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35</xdr:row>
      <xdr:rowOff>152400</xdr:rowOff>
    </xdr:from>
    <xdr:to>
      <xdr:col>6</xdr:col>
      <xdr:colOff>986007</xdr:colOff>
      <xdr:row>35</xdr:row>
      <xdr:rowOff>512400</xdr:rowOff>
    </xdr:to>
    <xdr:pic>
      <xdr:nvPicPr>
        <xdr:cNvPr id="27" name="Рисунок 26" descr="horizont_latun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467475" y="10401300"/>
          <a:ext cx="805032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35</xdr:row>
      <xdr:rowOff>171450</xdr:rowOff>
    </xdr:from>
    <xdr:to>
      <xdr:col>7</xdr:col>
      <xdr:colOff>1033632</xdr:colOff>
      <xdr:row>35</xdr:row>
      <xdr:rowOff>531450</xdr:rowOff>
    </xdr:to>
    <xdr:pic>
      <xdr:nvPicPr>
        <xdr:cNvPr id="28" name="Рисунок 27" descr="horizont_medniy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43825" y="10420350"/>
          <a:ext cx="805032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35</xdr:row>
      <xdr:rowOff>161925</xdr:rowOff>
    </xdr:from>
    <xdr:to>
      <xdr:col>8</xdr:col>
      <xdr:colOff>1119357</xdr:colOff>
      <xdr:row>35</xdr:row>
      <xdr:rowOff>521925</xdr:rowOff>
    </xdr:to>
    <xdr:pic>
      <xdr:nvPicPr>
        <xdr:cNvPr id="29" name="Рисунок 28" descr="horizont_zoloto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058275" y="10410825"/>
          <a:ext cx="805032" cy="36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290355</xdr:colOff>
      <xdr:row>8</xdr:row>
      <xdr:rowOff>155175</xdr:rowOff>
    </xdr:from>
    <xdr:to>
      <xdr:col>5</xdr:col>
      <xdr:colOff>323850</xdr:colOff>
      <xdr:row>9</xdr:row>
      <xdr:rowOff>154779</xdr:rowOff>
    </xdr:to>
    <xdr:pic>
      <xdr:nvPicPr>
        <xdr:cNvPr id="43" name="Рисунок 42" descr="Погонаж_L коробка.jpg">
          <a:extLst>
            <a:ext uri="{FF2B5EF4-FFF2-40B4-BE49-F238E27FC236}">
              <a16:creationId xmlns="" xmlns:a16="http://schemas.microsoft.com/office/drawing/2014/main" id="{00000000-0008-0000-2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05080" y="2336400"/>
          <a:ext cx="881220" cy="418704"/>
        </a:xfrm>
        <a:prstGeom prst="rect">
          <a:avLst/>
        </a:prstGeom>
      </xdr:spPr>
    </xdr:pic>
    <xdr:clientData/>
  </xdr:twoCellAnchor>
  <xdr:twoCellAnchor>
    <xdr:from>
      <xdr:col>9</xdr:col>
      <xdr:colOff>44705</xdr:colOff>
      <xdr:row>8</xdr:row>
      <xdr:rowOff>157558</xdr:rowOff>
    </xdr:from>
    <xdr:to>
      <xdr:col>9</xdr:col>
      <xdr:colOff>927728</xdr:colOff>
      <xdr:row>9</xdr:row>
      <xdr:rowOff>88718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2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17105" y="2338783"/>
          <a:ext cx="883023" cy="350260"/>
        </a:xfrm>
        <a:prstGeom prst="rect">
          <a:avLst/>
        </a:prstGeom>
      </xdr:spPr>
    </xdr:pic>
    <xdr:clientData/>
  </xdr:twoCellAnchor>
  <xdr:twoCellAnchor>
    <xdr:from>
      <xdr:col>13</xdr:col>
      <xdr:colOff>81646</xdr:colOff>
      <xdr:row>8</xdr:row>
      <xdr:rowOff>209551</xdr:rowOff>
    </xdr:from>
    <xdr:to>
      <xdr:col>13</xdr:col>
      <xdr:colOff>964408</xdr:colOff>
      <xdr:row>9</xdr:row>
      <xdr:rowOff>180975</xdr:rowOff>
    </xdr:to>
    <xdr:pic>
      <xdr:nvPicPr>
        <xdr:cNvPr id="57" name="Рисунок 56" descr="Погонаж_L коробка.jpg">
          <a:extLst>
            <a:ext uri="{FF2B5EF4-FFF2-40B4-BE49-F238E27FC236}">
              <a16:creationId xmlns="" xmlns:a16="http://schemas.microsoft.com/office/drawing/2014/main" id="{00000000-0008-0000-2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921221" y="2390776"/>
          <a:ext cx="882762" cy="390524"/>
        </a:xfrm>
        <a:prstGeom prst="rect">
          <a:avLst/>
        </a:prstGeom>
      </xdr:spPr>
    </xdr:pic>
    <xdr:clientData/>
  </xdr:twoCellAnchor>
  <xdr:twoCellAnchor>
    <xdr:from>
      <xdr:col>3</xdr:col>
      <xdr:colOff>689204</xdr:colOff>
      <xdr:row>34</xdr:row>
      <xdr:rowOff>134173</xdr:rowOff>
    </xdr:from>
    <xdr:to>
      <xdr:col>5</xdr:col>
      <xdr:colOff>408215</xdr:colOff>
      <xdr:row>34</xdr:row>
      <xdr:rowOff>653142</xdr:rowOff>
    </xdr:to>
    <xdr:pic>
      <xdr:nvPicPr>
        <xdr:cNvPr id="108" name="Рисунок 107" descr="Погонаж_L коробка.jpg">
          <a:extLst>
            <a:ext uri="{FF2B5EF4-FFF2-40B4-BE49-F238E27FC236}">
              <a16:creationId xmlns="" xmlns:a16="http://schemas.microsoft.com/office/drawing/2014/main" id="{00000000-0008-0000-22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53552"/>
        <a:stretch/>
      </xdr:blipFill>
      <xdr:spPr>
        <a:xfrm>
          <a:off x="3179311" y="11128744"/>
          <a:ext cx="1542368" cy="518969"/>
        </a:xfrm>
        <a:prstGeom prst="rect">
          <a:avLst/>
        </a:prstGeom>
      </xdr:spPr>
    </xdr:pic>
    <xdr:clientData/>
  </xdr:twoCellAnchor>
  <xdr:twoCellAnchor>
    <xdr:from>
      <xdr:col>3</xdr:col>
      <xdr:colOff>257732</xdr:colOff>
      <xdr:row>48</xdr:row>
      <xdr:rowOff>90406</xdr:rowOff>
    </xdr:from>
    <xdr:to>
      <xdr:col>4</xdr:col>
      <xdr:colOff>447251</xdr:colOff>
      <xdr:row>48</xdr:row>
      <xdr:rowOff>621703</xdr:rowOff>
    </xdr:to>
    <xdr:pic>
      <xdr:nvPicPr>
        <xdr:cNvPr id="114" name="Рисунок 113" descr="Погонаж_L коробка.jpg">
          <a:extLst>
            <a:ext uri="{FF2B5EF4-FFF2-40B4-BE49-F238E27FC236}">
              <a16:creationId xmlns="" xmlns:a16="http://schemas.microsoft.com/office/drawing/2014/main" id="{00000000-0008-0000-2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63007" y="19073731"/>
          <a:ext cx="1037244" cy="531297"/>
        </a:xfrm>
        <a:prstGeom prst="rect">
          <a:avLst/>
        </a:prstGeom>
      </xdr:spPr>
    </xdr:pic>
    <xdr:clientData/>
  </xdr:twoCellAnchor>
  <xdr:twoCellAnchor editAs="oneCell">
    <xdr:from>
      <xdr:col>2</xdr:col>
      <xdr:colOff>3402</xdr:colOff>
      <xdr:row>48</xdr:row>
      <xdr:rowOff>87087</xdr:rowOff>
    </xdr:from>
    <xdr:to>
      <xdr:col>2</xdr:col>
      <xdr:colOff>873259</xdr:colOff>
      <xdr:row>48</xdr:row>
      <xdr:rowOff>629799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09045" y="16510908"/>
          <a:ext cx="869857" cy="542712"/>
        </a:xfrm>
        <a:prstGeom prst="rect">
          <a:avLst/>
        </a:prstGeom>
      </xdr:spPr>
    </xdr:pic>
    <xdr:clientData/>
  </xdr:twoCellAnchor>
  <xdr:twoCellAnchor editAs="oneCell">
    <xdr:from>
      <xdr:col>7</xdr:col>
      <xdr:colOff>517071</xdr:colOff>
      <xdr:row>34</xdr:row>
      <xdr:rowOff>105658</xdr:rowOff>
    </xdr:from>
    <xdr:to>
      <xdr:col>9</xdr:col>
      <xdr:colOff>136070</xdr:colOff>
      <xdr:row>34</xdr:row>
      <xdr:rowOff>615974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43684"/>
        <a:stretch/>
      </xdr:blipFill>
      <xdr:spPr>
        <a:xfrm>
          <a:off x="6585857" y="11100229"/>
          <a:ext cx="1523999" cy="510316"/>
        </a:xfrm>
        <a:prstGeom prst="rect">
          <a:avLst/>
        </a:prstGeom>
      </xdr:spPr>
    </xdr:pic>
    <xdr:clientData/>
  </xdr:twoCellAnchor>
  <xdr:twoCellAnchor editAs="oneCell">
    <xdr:from>
      <xdr:col>6</xdr:col>
      <xdr:colOff>20410</xdr:colOff>
      <xdr:row>34</xdr:row>
      <xdr:rowOff>119754</xdr:rowOff>
    </xdr:from>
    <xdr:to>
      <xdr:col>6</xdr:col>
      <xdr:colOff>818130</xdr:colOff>
      <xdr:row>34</xdr:row>
      <xdr:rowOff>628076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4" y="11114325"/>
          <a:ext cx="797720" cy="508322"/>
        </a:xfrm>
        <a:prstGeom prst="rect">
          <a:avLst/>
        </a:prstGeom>
      </xdr:spPr>
    </xdr:pic>
    <xdr:clientData/>
  </xdr:twoCellAnchor>
  <xdr:oneCellAnchor>
    <xdr:from>
      <xdr:col>24</xdr:col>
      <xdr:colOff>61912</xdr:colOff>
      <xdr:row>8</xdr:row>
      <xdr:rowOff>214709</xdr:rowOff>
    </xdr:from>
    <xdr:ext cx="831057" cy="526257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552318" y="2405459"/>
          <a:ext cx="831057" cy="526257"/>
        </a:xfrm>
        <a:prstGeom prst="rect">
          <a:avLst/>
        </a:prstGeom>
      </xdr:spPr>
    </xdr:pic>
    <xdr:clientData/>
  </xdr:oneCellAnchor>
  <xdr:twoCellAnchor editAs="oneCell">
    <xdr:from>
      <xdr:col>11</xdr:col>
      <xdr:colOff>71437</xdr:colOff>
      <xdr:row>8</xdr:row>
      <xdr:rowOff>142875</xdr:rowOff>
    </xdr:from>
    <xdr:to>
      <xdr:col>12</xdr:col>
      <xdr:colOff>55534</xdr:colOff>
      <xdr:row>9</xdr:row>
      <xdr:rowOff>224275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987" y="2324100"/>
          <a:ext cx="922989" cy="5005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352680</xdr:colOff>
      <xdr:row>44</xdr:row>
      <xdr:rowOff>111258</xdr:rowOff>
    </xdr:from>
    <xdr:to>
      <xdr:col>13</xdr:col>
      <xdr:colOff>508667</xdr:colOff>
      <xdr:row>49</xdr:row>
      <xdr:rowOff>591331</xdr:rowOff>
    </xdr:to>
    <xdr:pic>
      <xdr:nvPicPr>
        <xdr:cNvPr id="31" name="Рисунок 30" descr="м.jpg">
          <a:extLst>
            <a:ext uri="{FF2B5EF4-FFF2-40B4-BE49-F238E27FC236}">
              <a16:creationId xmlns=""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088466" y="15773079"/>
          <a:ext cx="2972665" cy="208571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95251</xdr:colOff>
      <xdr:row>8</xdr:row>
      <xdr:rowOff>153681</xdr:rowOff>
    </xdr:from>
    <xdr:to>
      <xdr:col>12</xdr:col>
      <xdr:colOff>933450</xdr:colOff>
      <xdr:row>9</xdr:row>
      <xdr:rowOff>219036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1" y="2334906"/>
          <a:ext cx="838199" cy="484455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8</xdr:row>
      <xdr:rowOff>27455</xdr:rowOff>
    </xdr:from>
    <xdr:to>
      <xdr:col>11</xdr:col>
      <xdr:colOff>45960</xdr:colOff>
      <xdr:row>9</xdr:row>
      <xdr:rowOff>202406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188" y="2218205"/>
          <a:ext cx="972946" cy="59167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</xdr:colOff>
      <xdr:row>8</xdr:row>
      <xdr:rowOff>76200</xdr:rowOff>
    </xdr:from>
    <xdr:to>
      <xdr:col>3</xdr:col>
      <xdr:colOff>894240</xdr:colOff>
      <xdr:row>9</xdr:row>
      <xdr:rowOff>47625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612" y="2266950"/>
          <a:ext cx="887097" cy="38814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8</xdr:row>
      <xdr:rowOff>142875</xdr:rowOff>
    </xdr:from>
    <xdr:to>
      <xdr:col>2</xdr:col>
      <xdr:colOff>843724</xdr:colOff>
      <xdr:row>9</xdr:row>
      <xdr:rowOff>253460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455" y="2333625"/>
          <a:ext cx="819912" cy="532406"/>
        </a:xfrm>
        <a:prstGeom prst="rect">
          <a:avLst/>
        </a:prstGeom>
      </xdr:spPr>
    </xdr:pic>
    <xdr:clientData/>
  </xdr:twoCellAnchor>
  <xdr:twoCellAnchor editAs="oneCell">
    <xdr:from>
      <xdr:col>6</xdr:col>
      <xdr:colOff>766763</xdr:colOff>
      <xdr:row>8</xdr:row>
      <xdr:rowOff>95250</xdr:rowOff>
    </xdr:from>
    <xdr:to>
      <xdr:col>8</xdr:col>
      <xdr:colOff>9635</xdr:colOff>
      <xdr:row>9</xdr:row>
      <xdr:rowOff>199739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0732" y="2286000"/>
          <a:ext cx="1042416" cy="521208"/>
        </a:xfrm>
        <a:prstGeom prst="rect">
          <a:avLst/>
        </a:prstGeom>
      </xdr:spPr>
    </xdr:pic>
    <xdr:clientData/>
  </xdr:twoCellAnchor>
  <xdr:twoCellAnchor editAs="oneCell">
    <xdr:from>
      <xdr:col>18</xdr:col>
      <xdr:colOff>779008</xdr:colOff>
      <xdr:row>9</xdr:row>
      <xdr:rowOff>64634</xdr:rowOff>
    </xdr:from>
    <xdr:to>
      <xdr:col>19</xdr:col>
      <xdr:colOff>788806</xdr:colOff>
      <xdr:row>9</xdr:row>
      <xdr:rowOff>485258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187" y="267720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17</xdr:col>
      <xdr:colOff>226219</xdr:colOff>
      <xdr:row>9</xdr:row>
      <xdr:rowOff>83344</xdr:rowOff>
    </xdr:from>
    <xdr:to>
      <xdr:col>18</xdr:col>
      <xdr:colOff>232615</xdr:colOff>
      <xdr:row>9</xdr:row>
      <xdr:rowOff>503968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375" y="309562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27214</xdr:colOff>
      <xdr:row>8</xdr:row>
      <xdr:rowOff>351845</xdr:rowOff>
    </xdr:from>
    <xdr:to>
      <xdr:col>23</xdr:col>
      <xdr:colOff>721055</xdr:colOff>
      <xdr:row>9</xdr:row>
      <xdr:rowOff>193902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71" r="9774" b="6873"/>
        <a:stretch/>
      </xdr:blipFill>
      <xdr:spPr>
        <a:xfrm>
          <a:off x="20206607" y="2542595"/>
          <a:ext cx="693841" cy="26387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34</xdr:row>
      <xdr:rowOff>23813</xdr:rowOff>
    </xdr:from>
    <xdr:to>
      <xdr:col>3</xdr:col>
      <xdr:colOff>114137</xdr:colOff>
      <xdr:row>34</xdr:row>
      <xdr:rowOff>599885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3" y="13430251"/>
          <a:ext cx="950976" cy="576072"/>
        </a:xfrm>
        <a:prstGeom prst="rect">
          <a:avLst/>
        </a:prstGeom>
      </xdr:spPr>
    </xdr:pic>
    <xdr:clientData/>
  </xdr:twoCellAnchor>
  <xdr:twoCellAnchor editAs="oneCell">
    <xdr:from>
      <xdr:col>15</xdr:col>
      <xdr:colOff>6804</xdr:colOff>
      <xdr:row>8</xdr:row>
      <xdr:rowOff>304800</xdr:rowOff>
    </xdr:from>
    <xdr:to>
      <xdr:col>15</xdr:col>
      <xdr:colOff>733150</xdr:colOff>
      <xdr:row>9</xdr:row>
      <xdr:rowOff>133734</xdr:rowOff>
    </xdr:to>
    <xdr:pic>
      <xdr:nvPicPr>
        <xdr:cNvPr id="28" name="Рисунок 27" descr="ЭТНА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437054" y="2495550"/>
          <a:ext cx="726346" cy="250755"/>
        </a:xfrm>
        <a:prstGeom prst="rect">
          <a:avLst/>
        </a:prstGeom>
      </xdr:spPr>
    </xdr:pic>
    <xdr:clientData/>
  </xdr:twoCellAnchor>
  <xdr:twoCellAnchor editAs="oneCell">
    <xdr:from>
      <xdr:col>16</xdr:col>
      <xdr:colOff>7205</xdr:colOff>
      <xdr:row>8</xdr:row>
      <xdr:rowOff>323849</xdr:rowOff>
    </xdr:from>
    <xdr:to>
      <xdr:col>16</xdr:col>
      <xdr:colOff>787326</xdr:colOff>
      <xdr:row>9</xdr:row>
      <xdr:rowOff>123824</xdr:rowOff>
    </xdr:to>
    <xdr:pic>
      <xdr:nvPicPr>
        <xdr:cNvPr id="29" name="Рисунок 28" descr="ЛАЦИО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713805" y="2505074"/>
          <a:ext cx="780121" cy="21907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12245</xdr:colOff>
      <xdr:row>8</xdr:row>
      <xdr:rowOff>258413</xdr:rowOff>
    </xdr:from>
    <xdr:to>
      <xdr:col>14</xdr:col>
      <xdr:colOff>831010</xdr:colOff>
      <xdr:row>9</xdr:row>
      <xdr:rowOff>133351</xdr:rowOff>
    </xdr:to>
    <xdr:pic>
      <xdr:nvPicPr>
        <xdr:cNvPr id="30" name="Рисунок 29" descr="КОМО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598852" y="2449163"/>
          <a:ext cx="818765" cy="296759"/>
        </a:xfrm>
        <a:prstGeom prst="rect">
          <a:avLst/>
        </a:prstGeom>
      </xdr:spPr>
    </xdr:pic>
    <xdr:clientData/>
  </xdr:twoCellAnchor>
  <xdr:twoCellAnchor editAs="oneCell">
    <xdr:from>
      <xdr:col>12</xdr:col>
      <xdr:colOff>76598</xdr:colOff>
      <xdr:row>34</xdr:row>
      <xdr:rowOff>142686</xdr:rowOff>
    </xdr:from>
    <xdr:to>
      <xdr:col>12</xdr:col>
      <xdr:colOff>925285</xdr:colOff>
      <xdr:row>34</xdr:row>
      <xdr:rowOff>585107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69" y="11137257"/>
          <a:ext cx="848687" cy="442421"/>
        </a:xfrm>
        <a:prstGeom prst="rect">
          <a:avLst/>
        </a:prstGeom>
      </xdr:spPr>
    </xdr:pic>
    <xdr:clientData/>
  </xdr:twoCellAnchor>
  <xdr:twoCellAnchor editAs="oneCell">
    <xdr:from>
      <xdr:col>20</xdr:col>
      <xdr:colOff>367394</xdr:colOff>
      <xdr:row>9</xdr:row>
      <xdr:rowOff>101487</xdr:rowOff>
    </xdr:from>
    <xdr:to>
      <xdr:col>21</xdr:col>
      <xdr:colOff>571500</xdr:colOff>
      <xdr:row>9</xdr:row>
      <xdr:rowOff>465288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5858" y="2714058"/>
          <a:ext cx="1047749" cy="363801"/>
        </a:xfrm>
        <a:prstGeom prst="rect">
          <a:avLst/>
        </a:prstGeom>
      </xdr:spPr>
    </xdr:pic>
    <xdr:clientData/>
  </xdr:twoCellAnchor>
  <xdr:twoCellAnchor editAs="oneCell">
    <xdr:from>
      <xdr:col>22</xdr:col>
      <xdr:colOff>46774</xdr:colOff>
      <xdr:row>9</xdr:row>
      <xdr:rowOff>95249</xdr:rowOff>
    </xdr:from>
    <xdr:to>
      <xdr:col>22</xdr:col>
      <xdr:colOff>1043073</xdr:colOff>
      <xdr:row>9</xdr:row>
      <xdr:rowOff>544286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2524" y="2707820"/>
          <a:ext cx="996299" cy="449037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136071</xdr:colOff>
      <xdr:row>34</xdr:row>
      <xdr:rowOff>285750</xdr:rowOff>
    </xdr:from>
    <xdr:to>
      <xdr:col>14</xdr:col>
      <xdr:colOff>42582</xdr:colOff>
      <xdr:row>34</xdr:row>
      <xdr:rowOff>421822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0" y="11280321"/>
          <a:ext cx="750154" cy="136072"/>
        </a:xfrm>
        <a:prstGeom prst="rect">
          <a:avLst/>
        </a:prstGeom>
      </xdr:spPr>
    </xdr:pic>
    <xdr:clientData/>
  </xdr:twoCellAnchor>
  <xdr:twoCellAnchor editAs="oneCell">
    <xdr:from>
      <xdr:col>14</xdr:col>
      <xdr:colOff>81643</xdr:colOff>
      <xdr:row>34</xdr:row>
      <xdr:rowOff>312964</xdr:rowOff>
    </xdr:from>
    <xdr:to>
      <xdr:col>14</xdr:col>
      <xdr:colOff>831797</xdr:colOff>
      <xdr:row>34</xdr:row>
      <xdr:rowOff>449036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214" y="11307535"/>
          <a:ext cx="750154" cy="136072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217715</xdr:colOff>
      <xdr:row>48</xdr:row>
      <xdr:rowOff>272143</xdr:rowOff>
    </xdr:from>
    <xdr:to>
      <xdr:col>8</xdr:col>
      <xdr:colOff>36787</xdr:colOff>
      <xdr:row>48</xdr:row>
      <xdr:rowOff>612323</xdr:rowOff>
    </xdr:to>
    <xdr:pic>
      <xdr:nvPicPr>
        <xdr:cNvPr id="34" name="Рисунок 33" descr="м-добор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238751" y="16314964"/>
          <a:ext cx="1615215" cy="340180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136071</xdr:colOff>
      <xdr:row>34</xdr:row>
      <xdr:rowOff>108858</xdr:rowOff>
    </xdr:from>
    <xdr:to>
      <xdr:col>10</xdr:col>
      <xdr:colOff>832964</xdr:colOff>
      <xdr:row>34</xdr:row>
      <xdr:rowOff>612322</xdr:rowOff>
    </xdr:to>
    <xdr:pic>
      <xdr:nvPicPr>
        <xdr:cNvPr id="33" name="Рисунок 32" descr="SQ-короб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062357" y="11103429"/>
          <a:ext cx="696893" cy="503464"/>
        </a:xfrm>
        <a:prstGeom prst="rect">
          <a:avLst/>
        </a:prstGeom>
      </xdr:spPr>
    </xdr:pic>
    <xdr:clientData/>
  </xdr:twoCellAnchor>
  <xdr:twoCellAnchor editAs="oneCell">
    <xdr:from>
      <xdr:col>11</xdr:col>
      <xdr:colOff>81643</xdr:colOff>
      <xdr:row>34</xdr:row>
      <xdr:rowOff>190501</xdr:rowOff>
    </xdr:from>
    <xdr:to>
      <xdr:col>11</xdr:col>
      <xdr:colOff>898071</xdr:colOff>
      <xdr:row>34</xdr:row>
      <xdr:rowOff>374317</xdr:rowOff>
    </xdr:to>
    <xdr:pic>
      <xdr:nvPicPr>
        <xdr:cNvPr id="35" name="Рисунок 34" descr="SQ-наличник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946822" y="11185072"/>
          <a:ext cx="816428" cy="1838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160020</xdr:rowOff>
    </xdr:from>
    <xdr:to>
      <xdr:col>63</xdr:col>
      <xdr:colOff>18134</xdr:colOff>
      <xdr:row>53</xdr:row>
      <xdr:rowOff>140429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42900"/>
          <a:ext cx="7516214" cy="4165694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7</xdr:row>
      <xdr:rowOff>9525</xdr:rowOff>
    </xdr:from>
    <xdr:to>
      <xdr:col>60</xdr:col>
      <xdr:colOff>52434</xdr:colOff>
      <xdr:row>53</xdr:row>
      <xdr:rowOff>166140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67700" y="371475"/>
          <a:ext cx="5710284" cy="4147590"/>
        </a:xfrm>
        <a:prstGeom prst="rect">
          <a:avLst/>
        </a:prstGeom>
      </xdr:spPr>
    </xdr:pic>
    <xdr:clientData/>
  </xdr:twoCellAnchor>
  <xdr:twoCellAnchor editAs="oneCell">
    <xdr:from>
      <xdr:col>22</xdr:col>
      <xdr:colOff>235011</xdr:colOff>
      <xdr:row>9</xdr:row>
      <xdr:rowOff>9526</xdr:rowOff>
    </xdr:from>
    <xdr:to>
      <xdr:col>54</xdr:col>
      <xdr:colOff>61155</xdr:colOff>
      <xdr:row>52</xdr:row>
      <xdr:rowOff>85724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65311" y="733426"/>
          <a:ext cx="1947105" cy="38861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221116</xdr:colOff>
      <xdr:row>9</xdr:row>
      <xdr:rowOff>316365</xdr:rowOff>
    </xdr:from>
    <xdr:to>
      <xdr:col>3</xdr:col>
      <xdr:colOff>1393072</xdr:colOff>
      <xdr:row>9</xdr:row>
      <xdr:rowOff>839097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723" y="3731758"/>
          <a:ext cx="1238291" cy="522732"/>
        </a:xfrm>
        <a:prstGeom prst="rect">
          <a:avLst/>
        </a:prstGeom>
      </xdr:spPr>
    </xdr:pic>
    <xdr:clientData/>
  </xdr:twoCellAnchor>
  <xdr:twoCellAnchor editAs="oneCell">
    <xdr:from>
      <xdr:col>2</xdr:col>
      <xdr:colOff>237505</xdr:colOff>
      <xdr:row>9</xdr:row>
      <xdr:rowOff>136071</xdr:rowOff>
    </xdr:from>
    <xdr:to>
      <xdr:col>2</xdr:col>
      <xdr:colOff>1646745</xdr:colOff>
      <xdr:row>9</xdr:row>
      <xdr:rowOff>804386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69" y="3599707"/>
          <a:ext cx="1404910" cy="668315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176893</xdr:colOff>
      <xdr:row>9</xdr:row>
      <xdr:rowOff>367393</xdr:rowOff>
    </xdr:from>
    <xdr:to>
      <xdr:col>5</xdr:col>
      <xdr:colOff>1466812</xdr:colOff>
      <xdr:row>9</xdr:row>
      <xdr:rowOff>819478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3357" y="3782786"/>
          <a:ext cx="1356254" cy="452085"/>
        </a:xfrm>
        <a:prstGeom prst="rect">
          <a:avLst/>
        </a:prstGeom>
      </xdr:spPr>
    </xdr:pic>
    <xdr:clientData/>
  </xdr:twoCellAnchor>
  <xdr:twoCellAnchor editAs="oneCell">
    <xdr:from>
      <xdr:col>7</xdr:col>
      <xdr:colOff>273844</xdr:colOff>
      <xdr:row>9</xdr:row>
      <xdr:rowOff>202407</xdr:rowOff>
    </xdr:from>
    <xdr:to>
      <xdr:col>7</xdr:col>
      <xdr:colOff>1291876</xdr:colOff>
      <xdr:row>9</xdr:row>
      <xdr:rowOff>912591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3" y="2976563"/>
          <a:ext cx="1018032" cy="710184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9</xdr:row>
      <xdr:rowOff>83343</xdr:rowOff>
    </xdr:from>
    <xdr:to>
      <xdr:col>4</xdr:col>
      <xdr:colOff>1194027</xdr:colOff>
      <xdr:row>9</xdr:row>
      <xdr:rowOff>1058130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188" y="2857499"/>
          <a:ext cx="836839" cy="97478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316352</xdr:colOff>
      <xdr:row>4</xdr:row>
      <xdr:rowOff>23812</xdr:rowOff>
    </xdr:from>
    <xdr:to>
      <xdr:col>12</xdr:col>
      <xdr:colOff>327897</xdr:colOff>
      <xdr:row>4</xdr:row>
      <xdr:rowOff>1348707</xdr:rowOff>
    </xdr:to>
    <xdr:pic>
      <xdr:nvPicPr>
        <xdr:cNvPr id="62" name="Picture 1">
          <a:extLst>
            <a:ext uri="{FF2B5EF4-FFF2-40B4-BE49-F238E27FC236}">
              <a16:creationId xmlns="" xmlns:a16="http://schemas.microsoft.com/office/drawing/2014/main" id="{00000000-0008-0000-2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81592" b="49500"/>
        <a:stretch>
          <a:fillRect/>
        </a:stretch>
      </xdr:blipFill>
      <xdr:spPr bwMode="auto">
        <a:xfrm>
          <a:off x="2234959" y="3112633"/>
          <a:ext cx="1453901" cy="1323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278949</xdr:colOff>
      <xdr:row>4</xdr:row>
      <xdr:rowOff>23133</xdr:rowOff>
    </xdr:from>
    <xdr:to>
      <xdr:col>16</xdr:col>
      <xdr:colOff>1611607</xdr:colOff>
      <xdr:row>4</xdr:row>
      <xdr:rowOff>1356734</xdr:rowOff>
    </xdr:to>
    <xdr:pic>
      <xdr:nvPicPr>
        <xdr:cNvPr id="63" name="Picture 1">
          <a:extLst>
            <a:ext uri="{FF2B5EF4-FFF2-40B4-BE49-F238E27FC236}">
              <a16:creationId xmlns="" xmlns:a16="http://schemas.microsoft.com/office/drawing/2014/main" id="{00000000-0008-0000-2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1687" b="44824"/>
        <a:stretch>
          <a:fillRect/>
        </a:stretch>
      </xdr:blipFill>
      <xdr:spPr bwMode="auto">
        <a:xfrm>
          <a:off x="6524628" y="3588204"/>
          <a:ext cx="1332658" cy="13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513667</xdr:colOff>
      <xdr:row>4</xdr:row>
      <xdr:rowOff>30957</xdr:rowOff>
    </xdr:from>
    <xdr:to>
      <xdr:col>15</xdr:col>
      <xdr:colOff>309560</xdr:colOff>
      <xdr:row>4</xdr:row>
      <xdr:rowOff>1282373</xdr:rowOff>
    </xdr:to>
    <xdr:pic>
      <xdr:nvPicPr>
        <xdr:cNvPr id="65" name="Picture 1">
          <a:extLst>
            <a:ext uri="{FF2B5EF4-FFF2-40B4-BE49-F238E27FC236}">
              <a16:creationId xmlns="" xmlns:a16="http://schemas.microsoft.com/office/drawing/2014/main" id="{00000000-0008-0000-2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415" r="64223" b="49953"/>
        <a:stretch>
          <a:fillRect/>
        </a:stretch>
      </xdr:blipFill>
      <xdr:spPr bwMode="auto">
        <a:xfrm>
          <a:off x="4595810" y="3119778"/>
          <a:ext cx="1238250" cy="1249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130965</xdr:colOff>
      <xdr:row>4</xdr:row>
      <xdr:rowOff>30957</xdr:rowOff>
    </xdr:from>
    <xdr:to>
      <xdr:col>4</xdr:col>
      <xdr:colOff>636130</xdr:colOff>
      <xdr:row>4</xdr:row>
      <xdr:rowOff>1270466</xdr:rowOff>
    </xdr:to>
    <xdr:pic>
      <xdr:nvPicPr>
        <xdr:cNvPr id="67" name="Picture 1">
          <a:extLst>
            <a:ext uri="{FF2B5EF4-FFF2-40B4-BE49-F238E27FC236}">
              <a16:creationId xmlns="" xmlns:a16="http://schemas.microsoft.com/office/drawing/2014/main" id="{00000000-0008-0000-2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924" r="44871" b="50427"/>
        <a:stretch>
          <a:fillRect/>
        </a:stretch>
      </xdr:blipFill>
      <xdr:spPr bwMode="auto">
        <a:xfrm>
          <a:off x="7097822" y="3119778"/>
          <a:ext cx="1226344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124164</xdr:colOff>
      <xdr:row>4</xdr:row>
      <xdr:rowOff>30958</xdr:rowOff>
    </xdr:from>
    <xdr:to>
      <xdr:col>8</xdr:col>
      <xdr:colOff>593610</xdr:colOff>
      <xdr:row>4</xdr:row>
      <xdr:rowOff>1270467</xdr:rowOff>
    </xdr:to>
    <xdr:pic>
      <xdr:nvPicPr>
        <xdr:cNvPr id="69" name="Picture 1">
          <a:extLst>
            <a:ext uri="{FF2B5EF4-FFF2-40B4-BE49-F238E27FC236}">
              <a16:creationId xmlns="" xmlns:a16="http://schemas.microsoft.com/office/drawing/2014/main" id="{00000000-0008-0000-2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9377" r="24890" b="50427"/>
        <a:stretch>
          <a:fillRect/>
        </a:stretch>
      </xdr:blipFill>
      <xdr:spPr bwMode="auto">
        <a:xfrm>
          <a:off x="9975735" y="3119779"/>
          <a:ext cx="1190625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480216</xdr:colOff>
      <xdr:row>22</xdr:row>
      <xdr:rowOff>63500</xdr:rowOff>
    </xdr:from>
    <xdr:to>
      <xdr:col>12</xdr:col>
      <xdr:colOff>7567</xdr:colOff>
      <xdr:row>22</xdr:row>
      <xdr:rowOff>2724631</xdr:rowOff>
    </xdr:to>
    <xdr:pic>
      <xdr:nvPicPr>
        <xdr:cNvPr id="72" name="Picture 1">
          <a:extLst>
            <a:ext uri="{FF2B5EF4-FFF2-40B4-BE49-F238E27FC236}">
              <a16:creationId xmlns="" xmlns:a16="http://schemas.microsoft.com/office/drawing/2014/main" id="{00000000-0008-0000-2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91" t="6256" r="80858" b="17077"/>
        <a:stretch>
          <a:fillRect/>
        </a:stretch>
      </xdr:blipFill>
      <xdr:spPr bwMode="auto">
        <a:xfrm>
          <a:off x="2385216" y="17982406"/>
          <a:ext cx="969707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595330</xdr:colOff>
      <xdr:row>22</xdr:row>
      <xdr:rowOff>51593</xdr:rowOff>
    </xdr:from>
    <xdr:to>
      <xdr:col>15</xdr:col>
      <xdr:colOff>153098</xdr:colOff>
      <xdr:row>22</xdr:row>
      <xdr:rowOff>2712724</xdr:rowOff>
    </xdr:to>
    <xdr:pic>
      <xdr:nvPicPr>
        <xdr:cNvPr id="74" name="Picture 1">
          <a:extLst>
            <a:ext uri="{FF2B5EF4-FFF2-40B4-BE49-F238E27FC236}">
              <a16:creationId xmlns="" xmlns:a16="http://schemas.microsoft.com/office/drawing/2014/main" id="{00000000-0008-0000-2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753" t="6256" r="64312" b="17077"/>
        <a:stretch>
          <a:fillRect/>
        </a:stretch>
      </xdr:blipFill>
      <xdr:spPr bwMode="auto">
        <a:xfrm>
          <a:off x="4476768" y="17970499"/>
          <a:ext cx="100012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311282</xdr:colOff>
      <xdr:row>22</xdr:row>
      <xdr:rowOff>74728</xdr:rowOff>
    </xdr:from>
    <xdr:to>
      <xdr:col>4</xdr:col>
      <xdr:colOff>566416</xdr:colOff>
      <xdr:row>22</xdr:row>
      <xdr:rowOff>2735859</xdr:rowOff>
    </xdr:to>
    <xdr:pic>
      <xdr:nvPicPr>
        <xdr:cNvPr id="76" name="Picture 1">
          <a:extLst>
            <a:ext uri="{FF2B5EF4-FFF2-40B4-BE49-F238E27FC236}">
              <a16:creationId xmlns="" xmlns:a16="http://schemas.microsoft.com/office/drawing/2014/main" id="{00000000-0008-0000-2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382" t="6256" r="46062" b="17077"/>
        <a:stretch>
          <a:fillRect/>
        </a:stretch>
      </xdr:blipFill>
      <xdr:spPr bwMode="auto">
        <a:xfrm>
          <a:off x="9264782" y="14552728"/>
          <a:ext cx="976313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233721</xdr:colOff>
      <xdr:row>22</xdr:row>
      <xdr:rowOff>70649</xdr:rowOff>
    </xdr:from>
    <xdr:to>
      <xdr:col>8</xdr:col>
      <xdr:colOff>510286</xdr:colOff>
      <xdr:row>22</xdr:row>
      <xdr:rowOff>2731780</xdr:rowOff>
    </xdr:to>
    <xdr:pic>
      <xdr:nvPicPr>
        <xdr:cNvPr id="78" name="Picture 1">
          <a:extLst>
            <a:ext uri="{FF2B5EF4-FFF2-40B4-BE49-F238E27FC236}">
              <a16:creationId xmlns="" xmlns:a16="http://schemas.microsoft.com/office/drawing/2014/main" id="{00000000-0008-0000-2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6632" t="6256" r="27623" b="17077"/>
        <a:stretch>
          <a:fillRect/>
        </a:stretch>
      </xdr:blipFill>
      <xdr:spPr bwMode="auto">
        <a:xfrm>
          <a:off x="12071935" y="14548649"/>
          <a:ext cx="997744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500088</xdr:colOff>
      <xdr:row>22</xdr:row>
      <xdr:rowOff>68271</xdr:rowOff>
    </xdr:from>
    <xdr:to>
      <xdr:col>16</xdr:col>
      <xdr:colOff>1595463</xdr:colOff>
      <xdr:row>22</xdr:row>
      <xdr:rowOff>2729402</xdr:rowOff>
    </xdr:to>
    <xdr:pic>
      <xdr:nvPicPr>
        <xdr:cNvPr id="80" name="Picture 1">
          <a:extLst>
            <a:ext uri="{FF2B5EF4-FFF2-40B4-BE49-F238E27FC236}">
              <a16:creationId xmlns="" xmlns:a16="http://schemas.microsoft.com/office/drawing/2014/main" id="{00000000-0008-0000-2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7726" t="6256" r="4822" b="17077"/>
        <a:stretch>
          <a:fillRect/>
        </a:stretch>
      </xdr:blipFill>
      <xdr:spPr bwMode="auto">
        <a:xfrm>
          <a:off x="10310838" y="17987177"/>
          <a:ext cx="109537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500069</xdr:colOff>
      <xdr:row>4</xdr:row>
      <xdr:rowOff>595313</xdr:rowOff>
    </xdr:from>
    <xdr:to>
      <xdr:col>5</xdr:col>
      <xdr:colOff>1131093</xdr:colOff>
      <xdr:row>6</xdr:row>
      <xdr:rowOff>578005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2788" y="1750219"/>
          <a:ext cx="631024" cy="1316192"/>
        </a:xfrm>
        <a:prstGeom prst="rect">
          <a:avLst/>
        </a:prstGeom>
      </xdr:spPr>
    </xdr:pic>
    <xdr:clientData/>
  </xdr:twoCellAnchor>
  <xdr:twoCellAnchor editAs="oneCell">
    <xdr:from>
      <xdr:col>6</xdr:col>
      <xdr:colOff>600087</xdr:colOff>
      <xdr:row>4</xdr:row>
      <xdr:rowOff>600073</xdr:rowOff>
    </xdr:from>
    <xdr:to>
      <xdr:col>6</xdr:col>
      <xdr:colOff>1088889</xdr:colOff>
      <xdr:row>6</xdr:row>
      <xdr:rowOff>490573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7" y="2695573"/>
          <a:ext cx="488802" cy="12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581039</xdr:colOff>
      <xdr:row>4</xdr:row>
      <xdr:rowOff>619125</xdr:rowOff>
    </xdr:from>
    <xdr:to>
      <xdr:col>7</xdr:col>
      <xdr:colOff>1022208</xdr:colOff>
      <xdr:row>6</xdr:row>
      <xdr:rowOff>545625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14" y="2714625"/>
          <a:ext cx="441169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106143</xdr:colOff>
      <xdr:row>4</xdr:row>
      <xdr:rowOff>621164</xdr:rowOff>
    </xdr:from>
    <xdr:to>
      <xdr:col>2</xdr:col>
      <xdr:colOff>678655</xdr:colOff>
      <xdr:row>6</xdr:row>
      <xdr:rowOff>564081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750" y="1777771"/>
          <a:ext cx="572512" cy="1276417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4</xdr:row>
      <xdr:rowOff>625929</xdr:rowOff>
    </xdr:from>
    <xdr:to>
      <xdr:col>3</xdr:col>
      <xdr:colOff>643207</xdr:colOff>
      <xdr:row>6</xdr:row>
      <xdr:rowOff>531397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515" y="1782536"/>
          <a:ext cx="528906" cy="1238968"/>
        </a:xfrm>
        <a:prstGeom prst="rect">
          <a:avLst/>
        </a:prstGeom>
      </xdr:spPr>
    </xdr:pic>
    <xdr:clientData/>
  </xdr:twoCellAnchor>
  <xdr:twoCellAnchor editAs="oneCell">
    <xdr:from>
      <xdr:col>4</xdr:col>
      <xdr:colOff>235404</xdr:colOff>
      <xdr:row>4</xdr:row>
      <xdr:rowOff>625928</xdr:rowOff>
    </xdr:from>
    <xdr:to>
      <xdr:col>4</xdr:col>
      <xdr:colOff>657166</xdr:colOff>
      <xdr:row>6</xdr:row>
      <xdr:rowOff>552428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1782535"/>
          <a:ext cx="421762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495306</xdr:colOff>
      <xdr:row>4</xdr:row>
      <xdr:rowOff>581025</xdr:rowOff>
    </xdr:from>
    <xdr:to>
      <xdr:col>8</xdr:col>
      <xdr:colOff>1003173</xdr:colOff>
      <xdr:row>6</xdr:row>
      <xdr:rowOff>507525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81" y="2676525"/>
          <a:ext cx="507867" cy="12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411968</xdr:colOff>
      <xdr:row>4</xdr:row>
      <xdr:rowOff>611981</xdr:rowOff>
    </xdr:from>
    <xdr:to>
      <xdr:col>9</xdr:col>
      <xdr:colOff>860091</xdr:colOff>
      <xdr:row>6</xdr:row>
      <xdr:rowOff>538481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12" y="1766887"/>
          <a:ext cx="448123" cy="12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392905</xdr:colOff>
      <xdr:row>5</xdr:row>
      <xdr:rowOff>130968</xdr:rowOff>
    </xdr:from>
    <xdr:to>
      <xdr:col>13</xdr:col>
      <xdr:colOff>978246</xdr:colOff>
      <xdr:row>6</xdr:row>
      <xdr:rowOff>447445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3561" y="1928812"/>
          <a:ext cx="585341" cy="1007039"/>
        </a:xfrm>
        <a:prstGeom prst="rect">
          <a:avLst/>
        </a:prstGeom>
      </xdr:spPr>
    </xdr:pic>
    <xdr:clientData/>
  </xdr:twoCellAnchor>
  <xdr:twoCellAnchor editAs="oneCell">
    <xdr:from>
      <xdr:col>12</xdr:col>
      <xdr:colOff>345280</xdr:colOff>
      <xdr:row>5</xdr:row>
      <xdr:rowOff>107155</xdr:rowOff>
    </xdr:from>
    <xdr:to>
      <xdr:col>12</xdr:col>
      <xdr:colOff>1023936</xdr:colOff>
      <xdr:row>6</xdr:row>
      <xdr:rowOff>439194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4343" y="1904999"/>
          <a:ext cx="678656" cy="1022601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503464</xdr:colOff>
      <xdr:row>5</xdr:row>
      <xdr:rowOff>27214</xdr:rowOff>
    </xdr:from>
    <xdr:to>
      <xdr:col>10</xdr:col>
      <xdr:colOff>848412</xdr:colOff>
      <xdr:row>6</xdr:row>
      <xdr:rowOff>512989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5214" y="1823357"/>
          <a:ext cx="344948" cy="1179739"/>
        </a:xfrm>
        <a:prstGeom prst="rect">
          <a:avLst/>
        </a:prstGeom>
      </xdr:spPr>
    </xdr:pic>
    <xdr:clientData/>
  </xdr:twoCellAnchor>
  <xdr:twoCellAnchor editAs="oneCell">
    <xdr:from>
      <xdr:col>2</xdr:col>
      <xdr:colOff>1026880</xdr:colOff>
      <xdr:row>5</xdr:row>
      <xdr:rowOff>136073</xdr:rowOff>
    </xdr:from>
    <xdr:to>
      <xdr:col>2</xdr:col>
      <xdr:colOff>1251858</xdr:colOff>
      <xdr:row>6</xdr:row>
      <xdr:rowOff>510682</xdr:rowOff>
    </xdr:to>
    <xdr:pic>
      <xdr:nvPicPr>
        <xdr:cNvPr id="24" name="Рисунок 23" descr="П1 (1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45487" y="1932216"/>
          <a:ext cx="224978" cy="106857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5</xdr:row>
      <xdr:rowOff>122465</xdr:rowOff>
    </xdr:from>
    <xdr:to>
      <xdr:col>3</xdr:col>
      <xdr:colOff>1295518</xdr:colOff>
      <xdr:row>6</xdr:row>
      <xdr:rowOff>489859</xdr:rowOff>
    </xdr:to>
    <xdr:pic>
      <xdr:nvPicPr>
        <xdr:cNvPr id="25" name="Рисунок 24" descr="П2 (1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503964" y="1918608"/>
          <a:ext cx="247768" cy="1061358"/>
        </a:xfrm>
        <a:prstGeom prst="rect">
          <a:avLst/>
        </a:prstGeom>
      </xdr:spPr>
    </xdr:pic>
    <xdr:clientData/>
  </xdr:twoCellAnchor>
  <xdr:twoCellAnchor editAs="oneCell">
    <xdr:from>
      <xdr:col>4</xdr:col>
      <xdr:colOff>993323</xdr:colOff>
      <xdr:row>5</xdr:row>
      <xdr:rowOff>95250</xdr:rowOff>
    </xdr:from>
    <xdr:to>
      <xdr:col>4</xdr:col>
      <xdr:colOff>1211264</xdr:colOff>
      <xdr:row>6</xdr:row>
      <xdr:rowOff>517072</xdr:rowOff>
    </xdr:to>
    <xdr:pic>
      <xdr:nvPicPr>
        <xdr:cNvPr id="26" name="Рисунок 25" descr="П3 (1)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87144" y="1891393"/>
          <a:ext cx="217941" cy="111578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729983</xdr:colOff>
      <xdr:row>14</xdr:row>
      <xdr:rowOff>0</xdr:rowOff>
    </xdr:from>
    <xdr:to>
      <xdr:col>3</xdr:col>
      <xdr:colOff>735106</xdr:colOff>
      <xdr:row>14</xdr:row>
      <xdr:rowOff>85181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63883" y="81819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5123</xdr:colOff>
      <xdr:row>15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96400" y="81819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1081943</xdr:colOff>
      <xdr:row>12</xdr:row>
      <xdr:rowOff>30619</xdr:rowOff>
    </xdr:from>
    <xdr:to>
      <xdr:col>9</xdr:col>
      <xdr:colOff>1281939</xdr:colOff>
      <xdr:row>19</xdr:row>
      <xdr:rowOff>56810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2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724" y="7829213"/>
          <a:ext cx="3271809" cy="278844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13</xdr:row>
      <xdr:rowOff>0</xdr:rowOff>
    </xdr:from>
    <xdr:to>
      <xdr:col>3</xdr:col>
      <xdr:colOff>735106</xdr:colOff>
      <xdr:row>13</xdr:row>
      <xdr:rowOff>85181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2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82105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17</xdr:row>
      <xdr:rowOff>0</xdr:rowOff>
    </xdr:from>
    <xdr:to>
      <xdr:col>3</xdr:col>
      <xdr:colOff>735106</xdr:colOff>
      <xdr:row>17</xdr:row>
      <xdr:rowOff>85181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2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91344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5123</xdr:colOff>
      <xdr:row>17</xdr:row>
      <xdr:rowOff>47081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2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72550" y="91344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13608</xdr:colOff>
      <xdr:row>5</xdr:row>
      <xdr:rowOff>149679</xdr:rowOff>
    </xdr:from>
    <xdr:to>
      <xdr:col>4</xdr:col>
      <xdr:colOff>1001162</xdr:colOff>
      <xdr:row>5</xdr:row>
      <xdr:rowOff>1082369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179" y="2381250"/>
          <a:ext cx="987554" cy="932690"/>
        </a:xfrm>
        <a:prstGeom prst="rect">
          <a:avLst/>
        </a:prstGeom>
      </xdr:spPr>
    </xdr:pic>
    <xdr:clientData/>
  </xdr:twoCellAnchor>
  <xdr:twoCellAnchor editAs="oneCell">
    <xdr:from>
      <xdr:col>7</xdr:col>
      <xdr:colOff>394608</xdr:colOff>
      <xdr:row>5</xdr:row>
      <xdr:rowOff>312964</xdr:rowOff>
    </xdr:from>
    <xdr:to>
      <xdr:col>7</xdr:col>
      <xdr:colOff>1345586</xdr:colOff>
      <xdr:row>5</xdr:row>
      <xdr:rowOff>974381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965" y="2544535"/>
          <a:ext cx="950978" cy="661417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4</xdr:row>
      <xdr:rowOff>367393</xdr:rowOff>
    </xdr:from>
    <xdr:to>
      <xdr:col>9</xdr:col>
      <xdr:colOff>1056134</xdr:colOff>
      <xdr:row>6</xdr:row>
      <xdr:rowOff>55628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5786" y="2204357"/>
          <a:ext cx="865634" cy="14843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1</xdr:col>
      <xdr:colOff>790266</xdr:colOff>
      <xdr:row>84</xdr:row>
      <xdr:rowOff>0</xdr:rowOff>
    </xdr:to>
    <xdr:pic>
      <xdr:nvPicPr>
        <xdr:cNvPr id="3" name="Рисунок 83" descr="L-пл.jpg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1269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644338</xdr:colOff>
      <xdr:row>60</xdr:row>
      <xdr:rowOff>362318</xdr:rowOff>
    </xdr:from>
    <xdr:to>
      <xdr:col>9</xdr:col>
      <xdr:colOff>645698</xdr:colOff>
      <xdr:row>63</xdr:row>
      <xdr:rowOff>212861</xdr:rowOff>
    </xdr:to>
    <xdr:pic>
      <xdr:nvPicPr>
        <xdr:cNvPr id="4" name="Picture 4"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9216838" y="9773018"/>
          <a:ext cx="1360" cy="6922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387164</xdr:colOff>
      <xdr:row>86</xdr:row>
      <xdr:rowOff>0</xdr:rowOff>
    </xdr:from>
    <xdr:to>
      <xdr:col>8</xdr:col>
      <xdr:colOff>589911</xdr:colOff>
      <xdr:row>86</xdr:row>
      <xdr:rowOff>0</xdr:rowOff>
    </xdr:to>
    <xdr:pic>
      <xdr:nvPicPr>
        <xdr:cNvPr id="5" name="Рисунок 83" descr="L-пл.jpg"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4764" y="19516725"/>
          <a:ext cx="2027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974145</xdr:colOff>
      <xdr:row>5</xdr:row>
      <xdr:rowOff>146135</xdr:rowOff>
    </xdr:from>
    <xdr:to>
      <xdr:col>12</xdr:col>
      <xdr:colOff>23812</xdr:colOff>
      <xdr:row>7</xdr:row>
      <xdr:rowOff>328804</xdr:rowOff>
    </xdr:to>
    <xdr:grpSp>
      <xdr:nvGrpSpPr>
        <xdr:cNvPr id="6" name="Группа 5">
          <a:extLst>
            <a:ext uri="{FF2B5EF4-FFF2-40B4-BE49-F238E27FC236}">
              <a16:creationId xmlns="" xmlns:a16="http://schemas.microsoft.com/office/drawing/2014/main" id="{00000000-0008-0000-2700-000006000000}"/>
            </a:ext>
          </a:extLst>
        </xdr:cNvPr>
        <xdr:cNvGrpSpPr/>
      </xdr:nvGrpSpPr>
      <xdr:grpSpPr>
        <a:xfrm>
          <a:off x="2352469" y="1266723"/>
          <a:ext cx="9751284" cy="1034316"/>
          <a:chOff x="2095770" y="1467705"/>
          <a:chExt cx="10876135" cy="1035829"/>
        </a:xfrm>
      </xdr:grpSpPr>
      <xdr:pic>
        <xdr:nvPicPr>
          <xdr:cNvPr id="7" name="Рисунок 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2095770" y="1837766"/>
            <a:ext cx="782374" cy="632713"/>
          </a:xfrm>
          <a:prstGeom prst="rect">
            <a:avLst/>
          </a:prstGeom>
        </xdr:spPr>
      </xdr:pic>
      <xdr:pic>
        <xdr:nvPicPr>
          <xdr:cNvPr id="8" name="Рисунок 7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4179803" y="1826560"/>
            <a:ext cx="782376" cy="643919"/>
          </a:xfrm>
          <a:prstGeom prst="rect">
            <a:avLst/>
          </a:prstGeom>
        </xdr:spPr>
      </xdr:pic>
      <xdr:pic>
        <xdr:nvPicPr>
          <xdr:cNvPr id="10" name="Рисунок 9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9501168" y="1821905"/>
            <a:ext cx="830350" cy="681629"/>
          </a:xfrm>
          <a:prstGeom prst="rect">
            <a:avLst/>
          </a:prstGeom>
        </xdr:spPr>
      </xdr:pic>
      <xdr:pic>
        <xdr:nvPicPr>
          <xdr:cNvPr id="11" name="Рисунок 10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66048" y="1672990"/>
            <a:ext cx="830142" cy="790201"/>
          </a:xfrm>
          <a:prstGeom prst="rect">
            <a:avLst/>
          </a:prstGeom>
        </xdr:spPr>
      </xdr:pic>
      <xdr:pic>
        <xdr:nvPicPr>
          <xdr:cNvPr id="12" name="Рисунок 11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12228294" y="1467705"/>
            <a:ext cx="743611" cy="70653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387164</xdr:colOff>
      <xdr:row>18</xdr:row>
      <xdr:rowOff>0</xdr:rowOff>
    </xdr:from>
    <xdr:to>
      <xdr:col>8</xdr:col>
      <xdr:colOff>589911</xdr:colOff>
      <xdr:row>18</xdr:row>
      <xdr:rowOff>862</xdr:rowOff>
    </xdr:to>
    <xdr:pic>
      <xdr:nvPicPr>
        <xdr:cNvPr id="13" name="Рисунок 83" descr="L-пл.jpg">
          <a:extLst>
            <a:ext uri="{FF2B5EF4-FFF2-40B4-BE49-F238E27FC236}">
              <a16:creationId xmlns="" xmlns:a16="http://schemas.microsoft.com/office/drawing/2014/main" id="{00000000-0008-0000-2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764" y="92202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744869</xdr:colOff>
      <xdr:row>7</xdr:row>
      <xdr:rowOff>100240</xdr:rowOff>
    </xdr:from>
    <xdr:to>
      <xdr:col>12</xdr:col>
      <xdr:colOff>1059635</xdr:colOff>
      <xdr:row>7</xdr:row>
      <xdr:rowOff>879664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2700-00000E000000}"/>
            </a:ext>
          </a:extLst>
        </xdr:cNvPr>
        <xdr:cNvGrpSpPr/>
      </xdr:nvGrpSpPr>
      <xdr:grpSpPr>
        <a:xfrm>
          <a:off x="10538810" y="2072475"/>
          <a:ext cx="2600766" cy="779424"/>
          <a:chOff x="11037743" y="2689410"/>
          <a:chExt cx="4245046" cy="779422"/>
        </a:xfrm>
      </xdr:grpSpPr>
      <xdr:pic>
        <xdr:nvPicPr>
          <xdr:cNvPr id="15" name="Рисунок 14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037743" y="2689410"/>
            <a:ext cx="378551" cy="779422"/>
          </a:xfrm>
          <a:prstGeom prst="rect">
            <a:avLst/>
          </a:prstGeom>
        </xdr:spPr>
      </xdr:pic>
      <xdr:pic>
        <xdr:nvPicPr>
          <xdr:cNvPr id="16" name="Рисунок 15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024164" y="2689410"/>
            <a:ext cx="258625" cy="779422"/>
          </a:xfrm>
          <a:prstGeom prst="rect">
            <a:avLst/>
          </a:prstGeom>
        </xdr:spPr>
      </xdr:pic>
      <xdr:pic>
        <xdr:nvPicPr>
          <xdr:cNvPr id="17" name="Рисунок 1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05959" y="2689410"/>
            <a:ext cx="378551" cy="779422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141599</xdr:colOff>
      <xdr:row>6</xdr:row>
      <xdr:rowOff>155862</xdr:rowOff>
    </xdr:from>
    <xdr:to>
      <xdr:col>8</xdr:col>
      <xdr:colOff>940946</xdr:colOff>
      <xdr:row>7</xdr:row>
      <xdr:rowOff>329046</xdr:rowOff>
    </xdr:to>
    <xdr:pic>
      <xdr:nvPicPr>
        <xdr:cNvPr id="19" name="Рисунок 18" descr="Карниз погонажный-01.jpg">
          <a:extLst>
            <a:ext uri="{FF2B5EF4-FFF2-40B4-BE49-F238E27FC236}">
              <a16:creationId xmlns="" xmlns:a16="http://schemas.microsoft.com/office/drawing/2014/main" id="{00000000-0008-0000-2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29687" y="1724686"/>
          <a:ext cx="799347" cy="800713"/>
        </a:xfrm>
        <a:prstGeom prst="rect">
          <a:avLst/>
        </a:prstGeom>
      </xdr:spPr>
    </xdr:pic>
    <xdr:clientData/>
  </xdr:twoCellAnchor>
  <xdr:oneCellAnchor>
    <xdr:from>
      <xdr:col>9</xdr:col>
      <xdr:colOff>387164</xdr:colOff>
      <xdr:row>18</xdr:row>
      <xdr:rowOff>0</xdr:rowOff>
    </xdr:from>
    <xdr:ext cx="202747" cy="862"/>
    <xdr:pic>
      <xdr:nvPicPr>
        <xdr:cNvPr id="20" name="Рисунок 83" descr="L-пл.jpg">
          <a:extLst>
            <a:ext uri="{FF2B5EF4-FFF2-40B4-BE49-F238E27FC236}">
              <a16:creationId xmlns=""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387164</xdr:colOff>
      <xdr:row>18</xdr:row>
      <xdr:rowOff>0</xdr:rowOff>
    </xdr:from>
    <xdr:ext cx="202747" cy="862"/>
    <xdr:pic>
      <xdr:nvPicPr>
        <xdr:cNvPr id="21" name="Рисунок 83" descr="L-пл.jpg">
          <a:extLst>
            <a:ext uri="{FF2B5EF4-FFF2-40B4-BE49-F238E27FC236}">
              <a16:creationId xmlns=""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18</xdr:row>
      <xdr:rowOff>0</xdr:rowOff>
    </xdr:from>
    <xdr:ext cx="202747" cy="862"/>
    <xdr:pic>
      <xdr:nvPicPr>
        <xdr:cNvPr id="22" name="Рисунок 83" descr="L-пл.jpg">
          <a:extLst>
            <a:ext uri="{FF2B5EF4-FFF2-40B4-BE49-F238E27FC236}">
              <a16:creationId xmlns="" xmlns:a16="http://schemas.microsoft.com/office/drawing/2014/main" id="{00000000-0008-0000-2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23" name="Рисунок 83" descr="L-пл.jpg">
          <a:extLst>
            <a:ext uri="{FF2B5EF4-FFF2-40B4-BE49-F238E27FC236}">
              <a16:creationId xmlns="" xmlns:a16="http://schemas.microsoft.com/office/drawing/2014/main" id="{00000000-0008-0000-2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24" name="Рисунок 83" descr="L-пл.jpg">
          <a:extLst>
            <a:ext uri="{FF2B5EF4-FFF2-40B4-BE49-F238E27FC236}">
              <a16:creationId xmlns="" xmlns:a16="http://schemas.microsoft.com/office/drawing/2014/main" id="{00000000-0008-0000-2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387164</xdr:colOff>
      <xdr:row>18</xdr:row>
      <xdr:rowOff>0</xdr:rowOff>
    </xdr:from>
    <xdr:ext cx="202747" cy="862"/>
    <xdr:pic>
      <xdr:nvPicPr>
        <xdr:cNvPr id="25" name="Рисунок 83" descr="L-пл.jpg">
          <a:extLst>
            <a:ext uri="{FF2B5EF4-FFF2-40B4-BE49-F238E27FC236}">
              <a16:creationId xmlns="" xmlns:a16="http://schemas.microsoft.com/office/drawing/2014/main" id="{00000000-0008-0000-2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18</xdr:row>
      <xdr:rowOff>0</xdr:rowOff>
    </xdr:from>
    <xdr:ext cx="202747" cy="862"/>
    <xdr:pic>
      <xdr:nvPicPr>
        <xdr:cNvPr id="26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552792</xdr:colOff>
      <xdr:row>61</xdr:row>
      <xdr:rowOff>64909</xdr:rowOff>
    </xdr:from>
    <xdr:to>
      <xdr:col>15</xdr:col>
      <xdr:colOff>690879</xdr:colOff>
      <xdr:row>76</xdr:row>
      <xdr:rowOff>309559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2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465971" y="18883588"/>
          <a:ext cx="2410480" cy="5034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244928</xdr:colOff>
      <xdr:row>61</xdr:row>
      <xdr:rowOff>67940</xdr:rowOff>
    </xdr:from>
    <xdr:to>
      <xdr:col>12</xdr:col>
      <xdr:colOff>639726</xdr:colOff>
      <xdr:row>76</xdr:row>
      <xdr:rowOff>334941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2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987642" y="18886619"/>
          <a:ext cx="2680798" cy="5056715"/>
        </a:xfrm>
        <a:prstGeom prst="rect">
          <a:avLst/>
        </a:prstGeom>
      </xdr:spPr>
    </xdr:pic>
    <xdr:clientData/>
  </xdr:twoCellAnchor>
  <xdr:twoCellAnchor editAs="oneCell">
    <xdr:from>
      <xdr:col>8</xdr:col>
      <xdr:colOff>31971</xdr:colOff>
      <xdr:row>61</xdr:row>
      <xdr:rowOff>34881</xdr:rowOff>
    </xdr:from>
    <xdr:to>
      <xdr:col>10</xdr:col>
      <xdr:colOff>659953</xdr:colOff>
      <xdr:row>76</xdr:row>
      <xdr:rowOff>340178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2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92792" y="18853560"/>
          <a:ext cx="2709875" cy="5095011"/>
        </a:xfrm>
        <a:prstGeom prst="rect">
          <a:avLst/>
        </a:prstGeom>
      </xdr:spPr>
    </xdr:pic>
    <xdr:clientData/>
  </xdr:twoCellAnchor>
  <xdr:oneCellAnchor>
    <xdr:from>
      <xdr:col>13</xdr:col>
      <xdr:colOff>387164</xdr:colOff>
      <xdr:row>18</xdr:row>
      <xdr:rowOff>0</xdr:rowOff>
    </xdr:from>
    <xdr:ext cx="202747" cy="862"/>
    <xdr:pic>
      <xdr:nvPicPr>
        <xdr:cNvPr id="32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0758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35" name="Рисунок 83" descr="L-пл.jpg">
          <a:extLst>
            <a:ext uri="{FF2B5EF4-FFF2-40B4-BE49-F238E27FC236}">
              <a16:creationId xmlns="" xmlns:a16="http://schemas.microsoft.com/office/drawing/2014/main" id="{00000000-0008-0000-2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36" name="Рисунок 83" descr="L-пл.jpg">
          <a:extLst>
            <a:ext uri="{FF2B5EF4-FFF2-40B4-BE49-F238E27FC236}">
              <a16:creationId xmlns="" xmlns:a16="http://schemas.microsoft.com/office/drawing/2014/main" id="{00000000-0008-0000-2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18</xdr:row>
      <xdr:rowOff>0</xdr:rowOff>
    </xdr:from>
    <xdr:ext cx="202747" cy="862"/>
    <xdr:pic>
      <xdr:nvPicPr>
        <xdr:cNvPr id="37" name="Рисунок 83" descr="L-пл.jpg">
          <a:extLst>
            <a:ext uri="{FF2B5EF4-FFF2-40B4-BE49-F238E27FC236}">
              <a16:creationId xmlns="" xmlns:a16="http://schemas.microsoft.com/office/drawing/2014/main" id="{00000000-0008-0000-2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625929</xdr:colOff>
      <xdr:row>38</xdr:row>
      <xdr:rowOff>136072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2700-000028000000}"/>
            </a:ext>
          </a:extLst>
        </xdr:cNvPr>
        <xdr:cNvSpPr txBox="1"/>
      </xdr:nvSpPr>
      <xdr:spPr>
        <a:xfrm>
          <a:off x="6618020" y="1431966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39" name="Рисунок 83" descr="L-пл.jpg">
          <a:extLst>
            <a:ext uri="{FF2B5EF4-FFF2-40B4-BE49-F238E27FC236}">
              <a16:creationId xmlns="" xmlns:a16="http://schemas.microsoft.com/office/drawing/2014/main" id="{00000000-0008-0000-2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6950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41" name="Рисунок 83" descr="L-пл.jpg">
          <a:extLst>
            <a:ext uri="{FF2B5EF4-FFF2-40B4-BE49-F238E27FC236}">
              <a16:creationId xmlns="" xmlns:a16="http://schemas.microsoft.com/office/drawing/2014/main" id="{00000000-0008-0000-2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4021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18</xdr:row>
      <xdr:rowOff>0</xdr:rowOff>
    </xdr:from>
    <xdr:ext cx="202747" cy="862"/>
    <xdr:pic>
      <xdr:nvPicPr>
        <xdr:cNvPr id="42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43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0</xdr:colOff>
      <xdr:row>18</xdr:row>
      <xdr:rowOff>0</xdr:rowOff>
    </xdr:from>
    <xdr:ext cx="202747" cy="862"/>
    <xdr:pic>
      <xdr:nvPicPr>
        <xdr:cNvPr id="44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45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392379</xdr:colOff>
      <xdr:row>21</xdr:row>
      <xdr:rowOff>389906</xdr:rowOff>
    </xdr:from>
    <xdr:to>
      <xdr:col>11</xdr:col>
      <xdr:colOff>13608</xdr:colOff>
      <xdr:row>44</xdr:row>
      <xdr:rowOff>206828</xdr:rowOff>
    </xdr:to>
    <xdr:grpSp>
      <xdr:nvGrpSpPr>
        <xdr:cNvPr id="9" name="Группа 8"/>
        <xdr:cNvGrpSpPr/>
      </xdr:nvGrpSpPr>
      <xdr:grpSpPr>
        <a:xfrm>
          <a:off x="392379" y="8951200"/>
          <a:ext cx="10558170" cy="5890510"/>
          <a:chOff x="392379" y="9003227"/>
          <a:chExt cx="10506943" cy="5858494"/>
        </a:xfrm>
      </xdr:grpSpPr>
      <xdr:pic>
        <xdr:nvPicPr>
          <xdr:cNvPr id="2" name="Рисунок 1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67191" t="1055" r="22777" b="91977"/>
          <a:stretch/>
        </xdr:blipFill>
        <xdr:spPr>
          <a:xfrm>
            <a:off x="8899072" y="9075965"/>
            <a:ext cx="1333500" cy="40821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r="35594"/>
          <a:stretch/>
        </xdr:blipFill>
        <xdr:spPr>
          <a:xfrm>
            <a:off x="392379" y="9003227"/>
            <a:ext cx="8561121" cy="5858494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86087" t="10718" r="-418"/>
          <a:stretch/>
        </xdr:blipFill>
        <xdr:spPr>
          <a:xfrm>
            <a:off x="8994322" y="9524999"/>
            <a:ext cx="1905000" cy="5230586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403412</xdr:colOff>
      <xdr:row>77</xdr:row>
      <xdr:rowOff>22413</xdr:rowOff>
    </xdr:from>
    <xdr:to>
      <xdr:col>10</xdr:col>
      <xdr:colOff>301341</xdr:colOff>
      <xdr:row>82</xdr:row>
      <xdr:rowOff>156884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1853" y="24025413"/>
          <a:ext cx="1993429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851647</xdr:colOff>
      <xdr:row>77</xdr:row>
      <xdr:rowOff>33616</xdr:rowOff>
    </xdr:from>
    <xdr:to>
      <xdr:col>12</xdr:col>
      <xdr:colOff>488720</xdr:colOff>
      <xdr:row>82</xdr:row>
      <xdr:rowOff>134470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588" y="24036616"/>
          <a:ext cx="1923073" cy="918883"/>
        </a:xfrm>
        <a:prstGeom prst="rect">
          <a:avLst/>
        </a:prstGeom>
      </xdr:spPr>
    </xdr:pic>
    <xdr:clientData/>
  </xdr:twoCellAnchor>
  <xdr:twoCellAnchor editAs="oneCell">
    <xdr:from>
      <xdr:col>12</xdr:col>
      <xdr:colOff>963707</xdr:colOff>
      <xdr:row>77</xdr:row>
      <xdr:rowOff>17357</xdr:rowOff>
    </xdr:from>
    <xdr:to>
      <xdr:col>15</xdr:col>
      <xdr:colOff>622563</xdr:colOff>
      <xdr:row>82</xdr:row>
      <xdr:rowOff>123265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48" y="24020357"/>
          <a:ext cx="1933650" cy="92393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347383</xdr:colOff>
      <xdr:row>28</xdr:row>
      <xdr:rowOff>100853</xdr:rowOff>
    </xdr:from>
    <xdr:to>
      <xdr:col>16</xdr:col>
      <xdr:colOff>259795</xdr:colOff>
      <xdr:row>52</xdr:row>
      <xdr:rowOff>124640</xdr:rowOff>
    </xdr:to>
    <xdr:pic>
      <xdr:nvPicPr>
        <xdr:cNvPr id="2" name="Рисунок 1" descr="Снимок экрана (18)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81030" y="10925735"/>
          <a:ext cx="6725589" cy="5839640"/>
        </a:xfrm>
        <a:prstGeom prst="rect">
          <a:avLst/>
        </a:prstGeom>
      </xdr:spPr>
    </xdr:pic>
    <xdr:clientData/>
  </xdr:twoCellAnchor>
  <xdr:twoCellAnchor editAs="oneCell">
    <xdr:from>
      <xdr:col>7</xdr:col>
      <xdr:colOff>773205</xdr:colOff>
      <xdr:row>52</xdr:row>
      <xdr:rowOff>11205</xdr:rowOff>
    </xdr:from>
    <xdr:to>
      <xdr:col>13</xdr:col>
      <xdr:colOff>117290</xdr:colOff>
      <xdr:row>85</xdr:row>
      <xdr:rowOff>10403</xdr:rowOff>
    </xdr:to>
    <xdr:pic>
      <xdr:nvPicPr>
        <xdr:cNvPr id="3" name="Рисунок 2" descr="Снимок экрана (19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65558" y="16651940"/>
          <a:ext cx="5372850" cy="629690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2178844</xdr:colOff>
      <xdr:row>4</xdr:row>
      <xdr:rowOff>166688</xdr:rowOff>
    </xdr:from>
    <xdr:to>
      <xdr:col>1</xdr:col>
      <xdr:colOff>2833687</xdr:colOff>
      <xdr:row>4</xdr:row>
      <xdr:rowOff>1803792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3" y="2321719"/>
          <a:ext cx="654843" cy="163710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21</xdr:row>
      <xdr:rowOff>16525</xdr:rowOff>
    </xdr:from>
    <xdr:to>
      <xdr:col>5</xdr:col>
      <xdr:colOff>1277670</xdr:colOff>
      <xdr:row>30</xdr:row>
      <xdr:rowOff>23813</xdr:rowOff>
    </xdr:to>
    <xdr:pic>
      <xdr:nvPicPr>
        <xdr:cNvPr id="2" name="Рисунок 1" descr="2023-01-24_15-09-3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063" y="1230963"/>
          <a:ext cx="9123888" cy="23528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13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2692743" y="984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8</xdr:col>
      <xdr:colOff>348984</xdr:colOff>
      <xdr:row>37</xdr:row>
      <xdr:rowOff>0</xdr:rowOff>
    </xdr:from>
    <xdr:to>
      <xdr:col>8</xdr:col>
      <xdr:colOff>354107</xdr:colOff>
      <xdr:row>37</xdr:row>
      <xdr:rowOff>85181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6234" y="18704282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37</xdr:row>
      <xdr:rowOff>0</xdr:rowOff>
    </xdr:from>
    <xdr:to>
      <xdr:col>9</xdr:col>
      <xdr:colOff>735106</xdr:colOff>
      <xdr:row>37</xdr:row>
      <xdr:rowOff>47081</xdr:rowOff>
    </xdr:to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97883" y="185954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13</xdr:row>
      <xdr:rowOff>0</xdr:rowOff>
    </xdr:from>
    <xdr:to>
      <xdr:col>5</xdr:col>
      <xdr:colOff>735106</xdr:colOff>
      <xdr:row>13</xdr:row>
      <xdr:rowOff>20411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2752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535781</xdr:colOff>
      <xdr:row>1</xdr:row>
      <xdr:rowOff>102098</xdr:rowOff>
    </xdr:from>
    <xdr:to>
      <xdr:col>6</xdr:col>
      <xdr:colOff>1121941</xdr:colOff>
      <xdr:row>3</xdr:row>
      <xdr:rowOff>112148</xdr:rowOff>
    </xdr:to>
    <xdr:pic>
      <xdr:nvPicPr>
        <xdr:cNvPr id="2" name="Рисунок 15" descr="корсика.png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8750" y="328317"/>
          <a:ext cx="586160" cy="1319737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37</xdr:row>
      <xdr:rowOff>0</xdr:rowOff>
    </xdr:from>
    <xdr:to>
      <xdr:col>12</xdr:col>
      <xdr:colOff>0</xdr:colOff>
      <xdr:row>37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6327" y="13061156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37</xdr:row>
      <xdr:rowOff>0</xdr:rowOff>
    </xdr:from>
    <xdr:to>
      <xdr:col>8</xdr:col>
      <xdr:colOff>354107</xdr:colOff>
      <xdr:row>37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2091" y="132805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37</xdr:row>
      <xdr:rowOff>0</xdr:rowOff>
    </xdr:from>
    <xdr:to>
      <xdr:col>9</xdr:col>
      <xdr:colOff>735106</xdr:colOff>
      <xdr:row>37</xdr:row>
      <xdr:rowOff>47081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61019" y="13280571"/>
          <a:ext cx="5123" cy="470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191875" y="1176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9</xdr:col>
      <xdr:colOff>348984</xdr:colOff>
      <xdr:row>29</xdr:row>
      <xdr:rowOff>0</xdr:rowOff>
    </xdr:from>
    <xdr:to>
      <xdr:col>9</xdr:col>
      <xdr:colOff>354107</xdr:colOff>
      <xdr:row>29</xdr:row>
      <xdr:rowOff>85181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97484" y="164687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</xdr:row>
      <xdr:rowOff>0</xdr:rowOff>
    </xdr:from>
    <xdr:to>
      <xdr:col>10</xdr:col>
      <xdr:colOff>5123</xdr:colOff>
      <xdr:row>29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59608" y="164687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11</xdr:row>
      <xdr:rowOff>0</xdr:rowOff>
    </xdr:from>
    <xdr:to>
      <xdr:col>5</xdr:col>
      <xdr:colOff>735106</xdr:colOff>
      <xdr:row>11</xdr:row>
      <xdr:rowOff>20411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084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27</xdr:row>
      <xdr:rowOff>0</xdr:rowOff>
    </xdr:from>
    <xdr:to>
      <xdr:col>9</xdr:col>
      <xdr:colOff>354107</xdr:colOff>
      <xdr:row>27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7063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5123</xdr:colOff>
      <xdr:row>27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7063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750095</xdr:colOff>
      <xdr:row>1</xdr:row>
      <xdr:rowOff>190423</xdr:rowOff>
    </xdr:from>
    <xdr:to>
      <xdr:col>8</xdr:col>
      <xdr:colOff>1263309</xdr:colOff>
      <xdr:row>3</xdr:row>
      <xdr:rowOff>107156</xdr:rowOff>
    </xdr:to>
    <xdr:pic>
      <xdr:nvPicPr>
        <xdr:cNvPr id="12" name="Рисунок 11" descr="SLOT 10-004 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62876" y="416642"/>
          <a:ext cx="513214" cy="1250233"/>
        </a:xfrm>
        <a:prstGeom prst="rect">
          <a:avLst/>
        </a:prstGeom>
      </xdr:spPr>
    </xdr:pic>
    <xdr:clientData/>
  </xdr:twoCellAnchor>
  <xdr:twoCellAnchor editAs="oneCell">
    <xdr:from>
      <xdr:col>9</xdr:col>
      <xdr:colOff>267387</xdr:colOff>
      <xdr:row>1</xdr:row>
      <xdr:rowOff>190499</xdr:rowOff>
    </xdr:from>
    <xdr:to>
      <xdr:col>9</xdr:col>
      <xdr:colOff>773936</xdr:colOff>
      <xdr:row>3</xdr:row>
      <xdr:rowOff>119062</xdr:rowOff>
    </xdr:to>
    <xdr:pic>
      <xdr:nvPicPr>
        <xdr:cNvPr id="13" name="Рисунок 12" descr="SLOT 10-01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32606" y="416718"/>
          <a:ext cx="506549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857239</xdr:colOff>
      <xdr:row>2</xdr:row>
      <xdr:rowOff>5651</xdr:rowOff>
    </xdr:from>
    <xdr:to>
      <xdr:col>9</xdr:col>
      <xdr:colOff>1345396</xdr:colOff>
      <xdr:row>3</xdr:row>
      <xdr:rowOff>107157</xdr:rowOff>
    </xdr:to>
    <xdr:pic>
      <xdr:nvPicPr>
        <xdr:cNvPr id="14" name="Рисунок 13" descr="SLOT 10-0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2458" y="422370"/>
          <a:ext cx="488157" cy="1244506"/>
        </a:xfrm>
        <a:prstGeom prst="rect">
          <a:avLst/>
        </a:prstGeom>
      </xdr:spPr>
    </xdr:pic>
    <xdr:clientData/>
  </xdr:twoCellAnchor>
  <xdr:twoCellAnchor editAs="oneCell">
    <xdr:from>
      <xdr:col>10</xdr:col>
      <xdr:colOff>439186</xdr:colOff>
      <xdr:row>2</xdr:row>
      <xdr:rowOff>23811</xdr:rowOff>
    </xdr:from>
    <xdr:to>
      <xdr:col>10</xdr:col>
      <xdr:colOff>928685</xdr:colOff>
      <xdr:row>3</xdr:row>
      <xdr:rowOff>100392</xdr:rowOff>
    </xdr:to>
    <xdr:pic>
      <xdr:nvPicPr>
        <xdr:cNvPr id="15" name="Рисунок 14" descr="SLOT 41-002 A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73749" y="440530"/>
          <a:ext cx="489499" cy="1219581"/>
        </a:xfrm>
        <a:prstGeom prst="rect">
          <a:avLst/>
        </a:prstGeom>
      </xdr:spPr>
    </xdr:pic>
    <xdr:clientData/>
  </xdr:twoCellAnchor>
  <xdr:twoCellAnchor editAs="oneCell">
    <xdr:from>
      <xdr:col>8</xdr:col>
      <xdr:colOff>152910</xdr:colOff>
      <xdr:row>1</xdr:row>
      <xdr:rowOff>190497</xdr:rowOff>
    </xdr:from>
    <xdr:to>
      <xdr:col>8</xdr:col>
      <xdr:colOff>658920</xdr:colOff>
      <xdr:row>3</xdr:row>
      <xdr:rowOff>119060</xdr:rowOff>
    </xdr:to>
    <xdr:pic>
      <xdr:nvPicPr>
        <xdr:cNvPr id="17" name="Рисунок 16" descr="SLOT 10-002 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65691" y="416716"/>
          <a:ext cx="506010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26</xdr:row>
      <xdr:rowOff>0</xdr:rowOff>
    </xdr:from>
    <xdr:to>
      <xdr:col>9</xdr:col>
      <xdr:colOff>354107</xdr:colOff>
      <xdr:row>26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1953" y="112871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26</xdr:row>
      <xdr:rowOff>0</xdr:rowOff>
    </xdr:from>
    <xdr:to>
      <xdr:col>10</xdr:col>
      <xdr:colOff>5123</xdr:colOff>
      <xdr:row>26</xdr:row>
      <xdr:rowOff>47081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5063" y="112871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417400</xdr:colOff>
      <xdr:row>1</xdr:row>
      <xdr:rowOff>154781</xdr:rowOff>
    </xdr:from>
    <xdr:to>
      <xdr:col>6</xdr:col>
      <xdr:colOff>940594</xdr:colOff>
      <xdr:row>3</xdr:row>
      <xdr:rowOff>124814</xdr:rowOff>
    </xdr:to>
    <xdr:pic>
      <xdr:nvPicPr>
        <xdr:cNvPr id="22" name="Рисунок 21" descr="SLOT 10-001 без A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7463" y="381000"/>
          <a:ext cx="523194" cy="13035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43543</xdr:colOff>
      <xdr:row>13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11408229" y="111905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0</xdr:colOff>
      <xdr:row>29</xdr:row>
      <xdr:rowOff>0</xdr:rowOff>
    </xdr:from>
    <xdr:to>
      <xdr:col>6</xdr:col>
      <xdr:colOff>5123</xdr:colOff>
      <xdr:row>29</xdr:row>
      <xdr:rowOff>85181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71805" y="187219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29</xdr:row>
      <xdr:rowOff>0</xdr:rowOff>
    </xdr:from>
    <xdr:to>
      <xdr:col>6</xdr:col>
      <xdr:colOff>735106</xdr:colOff>
      <xdr:row>29</xdr:row>
      <xdr:rowOff>47081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64533" y="173095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13</xdr:row>
      <xdr:rowOff>0</xdr:rowOff>
    </xdr:from>
    <xdr:to>
      <xdr:col>5</xdr:col>
      <xdr:colOff>735106</xdr:colOff>
      <xdr:row>13</xdr:row>
      <xdr:rowOff>20411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319849</xdr:colOff>
      <xdr:row>2</xdr:row>
      <xdr:rowOff>35718</xdr:rowOff>
    </xdr:from>
    <xdr:to>
      <xdr:col>6</xdr:col>
      <xdr:colOff>857634</xdr:colOff>
      <xdr:row>3</xdr:row>
      <xdr:rowOff>9192</xdr:rowOff>
    </xdr:to>
    <xdr:pic>
      <xdr:nvPicPr>
        <xdr:cNvPr id="16" name="Рисунок 18" descr="корсика.png">
          <a:extLst>
            <a:ext uri="{FF2B5EF4-FFF2-40B4-BE49-F238E27FC236}">
              <a16:creationId xmlns=""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29912" y="452437"/>
          <a:ext cx="537785" cy="1116474"/>
        </a:xfrm>
        <a:prstGeom prst="rect">
          <a:avLst/>
        </a:prstGeom>
      </xdr:spPr>
    </xdr:pic>
    <xdr:clientData/>
  </xdr:twoCellAnchor>
  <xdr:twoCellAnchor>
    <xdr:from>
      <xdr:col>7</xdr:col>
      <xdr:colOff>348496</xdr:colOff>
      <xdr:row>2</xdr:row>
      <xdr:rowOff>11905</xdr:rowOff>
    </xdr:from>
    <xdr:to>
      <xdr:col>7</xdr:col>
      <xdr:colOff>892967</xdr:colOff>
      <xdr:row>2</xdr:row>
      <xdr:rowOff>1139002</xdr:rowOff>
    </xdr:to>
    <xdr:pic>
      <xdr:nvPicPr>
        <xdr:cNvPr id="17" name="Рисунок 19" descr="корсика.png">
          <a:extLst>
            <a:ext uri="{FF2B5EF4-FFF2-40B4-BE49-F238E27FC236}">
              <a16:creationId xmlns=""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8715" y="428624"/>
          <a:ext cx="544471" cy="1127097"/>
        </a:xfrm>
        <a:prstGeom prst="rect">
          <a:avLst/>
        </a:prstGeom>
      </xdr:spPr>
    </xdr:pic>
    <xdr:clientData/>
  </xdr:twoCellAnchor>
  <xdr:twoCellAnchor>
    <xdr:from>
      <xdr:col>8</xdr:col>
      <xdr:colOff>367734</xdr:colOff>
      <xdr:row>2</xdr:row>
      <xdr:rowOff>23811</xdr:rowOff>
    </xdr:from>
    <xdr:to>
      <xdr:col>8</xdr:col>
      <xdr:colOff>899785</xdr:colOff>
      <xdr:row>2</xdr:row>
      <xdr:rowOff>1128380</xdr:rowOff>
    </xdr:to>
    <xdr:pic>
      <xdr:nvPicPr>
        <xdr:cNvPr id="18" name="Рисунок 20" descr="корсика.png">
          <a:extLst>
            <a:ext uri="{FF2B5EF4-FFF2-40B4-BE49-F238E27FC236}">
              <a16:creationId xmlns="" xmlns:a16="http://schemas.microsoft.com/office/drawing/2014/main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8109" y="440530"/>
          <a:ext cx="532051" cy="1104569"/>
        </a:xfrm>
        <a:prstGeom prst="rect">
          <a:avLst/>
        </a:prstGeom>
      </xdr:spPr>
    </xdr:pic>
    <xdr:clientData/>
  </xdr:twoCellAnchor>
  <xdr:twoCellAnchor>
    <xdr:from>
      <xdr:col>9</xdr:col>
      <xdr:colOff>335093</xdr:colOff>
      <xdr:row>2</xdr:row>
      <xdr:rowOff>79942</xdr:rowOff>
    </xdr:from>
    <xdr:to>
      <xdr:col>9</xdr:col>
      <xdr:colOff>850412</xdr:colOff>
      <xdr:row>3</xdr:row>
      <xdr:rowOff>3691</xdr:rowOff>
    </xdr:to>
    <xdr:pic>
      <xdr:nvPicPr>
        <xdr:cNvPr id="21" name="Рисунок 24" descr="корсика.png">
          <a:extLst>
            <a:ext uri="{FF2B5EF4-FFF2-40B4-BE49-F238E27FC236}">
              <a16:creationId xmlns="" xmlns:a16="http://schemas.microsoft.com/office/drawing/2014/main" id="{00000000-0008-0000-1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49700" y="501763"/>
          <a:ext cx="515319" cy="1066749"/>
        </a:xfrm>
        <a:prstGeom prst="rect">
          <a:avLst/>
        </a:prstGeom>
      </xdr:spPr>
    </xdr:pic>
    <xdr:clientData/>
  </xdr:twoCellAnchor>
  <xdr:twoCellAnchor>
    <xdr:from>
      <xdr:col>11</xdr:col>
      <xdr:colOff>366487</xdr:colOff>
      <xdr:row>2</xdr:row>
      <xdr:rowOff>78241</xdr:rowOff>
    </xdr:from>
    <xdr:to>
      <xdr:col>11</xdr:col>
      <xdr:colOff>857249</xdr:colOff>
      <xdr:row>3</xdr:row>
      <xdr:rowOff>28089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1F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32951" y="500062"/>
          <a:ext cx="490762" cy="1092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367191</xdr:colOff>
      <xdr:row>2</xdr:row>
      <xdr:rowOff>106834</xdr:rowOff>
    </xdr:from>
    <xdr:to>
      <xdr:col>12</xdr:col>
      <xdr:colOff>833438</xdr:colOff>
      <xdr:row>3</xdr:row>
      <xdr:rowOff>8798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512" y="528655"/>
          <a:ext cx="466247" cy="1044964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27</xdr:row>
      <xdr:rowOff>0</xdr:rowOff>
    </xdr:from>
    <xdr:to>
      <xdr:col>8</xdr:col>
      <xdr:colOff>354107</xdr:colOff>
      <xdr:row>27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4396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27</xdr:row>
      <xdr:rowOff>0</xdr:rowOff>
    </xdr:from>
    <xdr:to>
      <xdr:col>9</xdr:col>
      <xdr:colOff>735106</xdr:colOff>
      <xdr:row>27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4396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13</xdr:col>
      <xdr:colOff>367393</xdr:colOff>
      <xdr:row>2</xdr:row>
      <xdr:rowOff>41485</xdr:rowOff>
    </xdr:from>
    <xdr:to>
      <xdr:col>14</xdr:col>
      <xdr:colOff>653143</xdr:colOff>
      <xdr:row>3</xdr:row>
      <xdr:rowOff>136072</xdr:rowOff>
    </xdr:to>
    <xdr:pic>
      <xdr:nvPicPr>
        <xdr:cNvPr id="15" name="Рисунок 14" descr="Безымянны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89429" y="463306"/>
          <a:ext cx="1537607" cy="1237587"/>
        </a:xfrm>
        <a:prstGeom prst="rect">
          <a:avLst/>
        </a:prstGeom>
      </xdr:spPr>
    </xdr:pic>
    <xdr:clientData/>
  </xdr:twoCellAnchor>
  <xdr:twoCellAnchor editAs="oneCell">
    <xdr:from>
      <xdr:col>10</xdr:col>
      <xdr:colOff>217714</xdr:colOff>
      <xdr:row>1</xdr:row>
      <xdr:rowOff>176892</xdr:rowOff>
    </xdr:from>
    <xdr:to>
      <xdr:col>10</xdr:col>
      <xdr:colOff>966107</xdr:colOff>
      <xdr:row>3</xdr:row>
      <xdr:rowOff>126351</xdr:rowOff>
    </xdr:to>
    <xdr:pic>
      <xdr:nvPicPr>
        <xdr:cNvPr id="19" name="Рисунок 18" descr="Безымянный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484178" y="408213"/>
          <a:ext cx="748393" cy="128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4" name="Рисунок 4" descr="галочка.png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61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5" name="Рисунок 5" descr="галочка.png"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5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6" name="Рисунок 6" descr="галочка.png"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01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7" name="Рисунок 7" descr="галочка.png">
          <a:extLst>
            <a:ext uri="{FF2B5EF4-FFF2-40B4-BE49-F238E27FC236}">
              <a16:creationId xmlns=""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045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8" name="Рисунок 8" descr="галочка.png">
          <a:extLst>
            <a:ext uri="{FF2B5EF4-FFF2-40B4-BE49-F238E27FC236}">
              <a16:creationId xmlns=""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189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9" name="Рисунок 9" descr="галочка.png">
          <a:extLst>
            <a:ext uri="{FF2B5EF4-FFF2-40B4-BE49-F238E27FC236}">
              <a16:creationId xmlns=""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933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10" name="Рисунок 10" descr="галочка.png">
          <a:extLst>
            <a:ext uri="{FF2B5EF4-FFF2-40B4-BE49-F238E27FC236}">
              <a16:creationId xmlns=""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7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5123</xdr:colOff>
      <xdr:row>18</xdr:row>
      <xdr:rowOff>47081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2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5123</xdr:colOff>
      <xdr:row>18</xdr:row>
      <xdr:rowOff>56606</xdr:rowOff>
    </xdr:to>
    <xdr:pic>
      <xdr:nvPicPr>
        <xdr:cNvPr id="49" name="Рисунок 48" descr="галочка.png">
          <a:extLst>
            <a:ext uri="{FF2B5EF4-FFF2-40B4-BE49-F238E27FC236}">
              <a16:creationId xmlns="" xmlns:a16="http://schemas.microsoft.com/office/drawing/2014/main" id="{00000000-0008-0000-2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18</xdr:row>
      <xdr:rowOff>0</xdr:rowOff>
    </xdr:from>
    <xdr:to>
      <xdr:col>16</xdr:col>
      <xdr:colOff>1681</xdr:colOff>
      <xdr:row>18</xdr:row>
      <xdr:rowOff>47081</xdr:rowOff>
    </xdr:to>
    <xdr:pic>
      <xdr:nvPicPr>
        <xdr:cNvPr id="50" name="Рисунок 49" descr="галочка.png">
          <a:extLst>
            <a:ext uri="{FF2B5EF4-FFF2-40B4-BE49-F238E27FC236}">
              <a16:creationId xmlns="" xmlns:a16="http://schemas.microsoft.com/office/drawing/2014/main" id="{00000000-0008-0000-2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18</xdr:row>
      <xdr:rowOff>0</xdr:rowOff>
    </xdr:from>
    <xdr:to>
      <xdr:col>6</xdr:col>
      <xdr:colOff>735106</xdr:colOff>
      <xdr:row>18</xdr:row>
      <xdr:rowOff>56606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2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4955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18</xdr:row>
      <xdr:rowOff>0</xdr:rowOff>
    </xdr:from>
    <xdr:to>
      <xdr:col>16</xdr:col>
      <xdr:colOff>1681</xdr:colOff>
      <xdr:row>18</xdr:row>
      <xdr:rowOff>47081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2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18</xdr:row>
      <xdr:rowOff>0</xdr:rowOff>
    </xdr:from>
    <xdr:to>
      <xdr:col>9</xdr:col>
      <xdr:colOff>735106</xdr:colOff>
      <xdr:row>18</xdr:row>
      <xdr:rowOff>56606</xdr:rowOff>
    </xdr:to>
    <xdr:pic>
      <xdr:nvPicPr>
        <xdr:cNvPr id="53" name="Рисунок 52" descr="галочка.png">
          <a:extLst>
            <a:ext uri="{FF2B5EF4-FFF2-40B4-BE49-F238E27FC236}">
              <a16:creationId xmlns="" xmlns:a16="http://schemas.microsoft.com/office/drawing/2014/main" id="{00000000-0008-0000-2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3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18</xdr:row>
      <xdr:rowOff>0</xdr:rowOff>
    </xdr:from>
    <xdr:to>
      <xdr:col>7</xdr:col>
      <xdr:colOff>735106</xdr:colOff>
      <xdr:row>18</xdr:row>
      <xdr:rowOff>56606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2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18</xdr:row>
      <xdr:rowOff>0</xdr:rowOff>
    </xdr:from>
    <xdr:to>
      <xdr:col>5</xdr:col>
      <xdr:colOff>735106</xdr:colOff>
      <xdr:row>18</xdr:row>
      <xdr:rowOff>20411</xdr:rowOff>
    </xdr:to>
    <xdr:pic>
      <xdr:nvPicPr>
        <xdr:cNvPr id="55" name="Рисунок 54" descr="галочка.png">
          <a:extLst>
            <a:ext uri="{FF2B5EF4-FFF2-40B4-BE49-F238E27FC236}">
              <a16:creationId xmlns="" xmlns:a16="http://schemas.microsoft.com/office/drawing/2014/main" id="{00000000-0008-0000-2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5</xdr:col>
      <xdr:colOff>729983</xdr:colOff>
      <xdr:row>8</xdr:row>
      <xdr:rowOff>0</xdr:rowOff>
    </xdr:from>
    <xdr:to>
      <xdr:col>5</xdr:col>
      <xdr:colOff>735106</xdr:colOff>
      <xdr:row>14</xdr:row>
      <xdr:rowOff>20411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35233" y="84867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15</xdr:row>
      <xdr:rowOff>0</xdr:rowOff>
    </xdr:from>
    <xdr:to>
      <xdr:col>8</xdr:col>
      <xdr:colOff>354107</xdr:colOff>
      <xdr:row>15</xdr:row>
      <xdr:rowOff>85181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15</xdr:row>
      <xdr:rowOff>0</xdr:rowOff>
    </xdr:from>
    <xdr:to>
      <xdr:col>9</xdr:col>
      <xdr:colOff>735106</xdr:colOff>
      <xdr:row>15</xdr:row>
      <xdr:rowOff>47081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19</xdr:row>
      <xdr:rowOff>71438</xdr:rowOff>
    </xdr:from>
    <xdr:to>
      <xdr:col>8</xdr:col>
      <xdr:colOff>71437</xdr:colOff>
      <xdr:row>26</xdr:row>
      <xdr:rowOff>66118</xdr:rowOff>
    </xdr:to>
    <xdr:pic>
      <xdr:nvPicPr>
        <xdr:cNvPr id="37" name="Рисунок 36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1975" t="3461" r="40881"/>
        <a:stretch>
          <a:fillRect/>
        </a:stretch>
      </xdr:blipFill>
      <xdr:spPr>
        <a:xfrm>
          <a:off x="3559969" y="5143501"/>
          <a:ext cx="4917281" cy="1328180"/>
        </a:xfrm>
        <a:prstGeom prst="rect">
          <a:avLst/>
        </a:prstGeom>
      </xdr:spPr>
    </xdr:pic>
    <xdr:clientData/>
  </xdr:twoCellAnchor>
  <xdr:twoCellAnchor editAs="oneCell">
    <xdr:from>
      <xdr:col>8</xdr:col>
      <xdr:colOff>1226345</xdr:colOff>
      <xdr:row>19</xdr:row>
      <xdr:rowOff>35720</xdr:rowOff>
    </xdr:from>
    <xdr:to>
      <xdr:col>9</xdr:col>
      <xdr:colOff>1967990</xdr:colOff>
      <xdr:row>26</xdr:row>
      <xdr:rowOff>33340</xdr:rowOff>
    </xdr:to>
    <xdr:pic>
      <xdr:nvPicPr>
        <xdr:cNvPr id="40" name="Рисунок 39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65333" t="3045"/>
        <a:stretch>
          <a:fillRect/>
        </a:stretch>
      </xdr:blipFill>
      <xdr:spPr>
        <a:xfrm>
          <a:off x="9632158" y="5107783"/>
          <a:ext cx="2789520" cy="133112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23815</xdr:colOff>
      <xdr:row>29</xdr:row>
      <xdr:rowOff>23815</xdr:rowOff>
    </xdr:from>
    <xdr:to>
      <xdr:col>8</xdr:col>
      <xdr:colOff>938666</xdr:colOff>
      <xdr:row>36</xdr:row>
      <xdr:rowOff>119062</xdr:rowOff>
    </xdr:to>
    <xdr:pic>
      <xdr:nvPicPr>
        <xdr:cNvPr id="41" name="Рисунок 40" descr="2023-01-25_10-57-53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10000"/>
        </a:blip>
        <a:srcRect t="2885"/>
        <a:stretch>
          <a:fillRect/>
        </a:stretch>
      </xdr:blipFill>
      <xdr:spPr>
        <a:xfrm>
          <a:off x="3548065" y="7000878"/>
          <a:ext cx="5796414" cy="1428747"/>
        </a:xfrm>
        <a:prstGeom prst="rect">
          <a:avLst/>
        </a:prstGeom>
      </xdr:spPr>
    </xdr:pic>
    <xdr:clientData/>
  </xdr:twoCellAnchor>
  <xdr:twoCellAnchor>
    <xdr:from>
      <xdr:col>8</xdr:col>
      <xdr:colOff>1090694</xdr:colOff>
      <xdr:row>28</xdr:row>
      <xdr:rowOff>188119</xdr:rowOff>
    </xdr:from>
    <xdr:to>
      <xdr:col>9</xdr:col>
      <xdr:colOff>1181302</xdr:colOff>
      <xdr:row>37</xdr:row>
      <xdr:rowOff>-1</xdr:rowOff>
    </xdr:to>
    <xdr:grpSp>
      <xdr:nvGrpSpPr>
        <xdr:cNvPr id="11" name="Группа 10"/>
        <xdr:cNvGrpSpPr/>
      </xdr:nvGrpSpPr>
      <xdr:grpSpPr>
        <a:xfrm>
          <a:off x="9496507" y="4831557"/>
          <a:ext cx="2138483" cy="1526380"/>
          <a:chOff x="9496507" y="6974682"/>
          <a:chExt cx="2138483" cy="1526380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/>
          <a:srcRect t="18889"/>
          <a:stretch/>
        </xdr:blipFill>
        <xdr:spPr>
          <a:xfrm>
            <a:off x="9496507" y="7227094"/>
            <a:ext cx="2138483" cy="1273968"/>
          </a:xfrm>
          <a:prstGeom prst="rect">
            <a:avLst/>
          </a:prstGeom>
        </xdr:spPr>
      </xdr:pic>
      <xdr:pic>
        <xdr:nvPicPr>
          <xdr:cNvPr id="28" name="Рисунок 27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/>
          <a:srcRect b="85874"/>
          <a:stretch/>
        </xdr:blipFill>
        <xdr:spPr>
          <a:xfrm>
            <a:off x="9541751" y="6974682"/>
            <a:ext cx="2011495" cy="20478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32</xdr:row>
      <xdr:rowOff>0</xdr:rowOff>
    </xdr:from>
    <xdr:to>
      <xdr:col>11</xdr:col>
      <xdr:colOff>5123</xdr:colOff>
      <xdr:row>32</xdr:row>
      <xdr:rowOff>47081</xdr:rowOff>
    </xdr:to>
    <xdr:pic>
      <xdr:nvPicPr>
        <xdr:cNvPr id="26" name="Рисунок 25" descr="галочка.png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29</xdr:row>
      <xdr:rowOff>0</xdr:rowOff>
    </xdr:from>
    <xdr:to>
      <xdr:col>7</xdr:col>
      <xdr:colOff>735106</xdr:colOff>
      <xdr:row>29</xdr:row>
      <xdr:rowOff>123281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5058" y="9944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29</xdr:row>
      <xdr:rowOff>0</xdr:rowOff>
    </xdr:from>
    <xdr:to>
      <xdr:col>5</xdr:col>
      <xdr:colOff>755516</xdr:colOff>
      <xdr:row>29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944100"/>
          <a:ext cx="25533" cy="123281"/>
        </a:xfrm>
        <a:prstGeom prst="rect">
          <a:avLst/>
        </a:prstGeom>
      </xdr:spPr>
    </xdr:pic>
    <xdr:clientData/>
  </xdr:twoCellAnchor>
  <xdr:twoCellAnchor>
    <xdr:from>
      <xdr:col>8</xdr:col>
      <xdr:colOff>450630</xdr:colOff>
      <xdr:row>2</xdr:row>
      <xdr:rowOff>20786</xdr:rowOff>
    </xdr:from>
    <xdr:to>
      <xdr:col>8</xdr:col>
      <xdr:colOff>892969</xdr:colOff>
      <xdr:row>2</xdr:row>
      <xdr:rowOff>1007470</xdr:rowOff>
    </xdr:to>
    <xdr:pic>
      <xdr:nvPicPr>
        <xdr:cNvPr id="101" name="Рисунок 106" descr="корсика.png">
          <a:extLst>
            <a:ext uri="{FF2B5EF4-FFF2-40B4-BE49-F238E27FC236}">
              <a16:creationId xmlns="" xmlns:a16="http://schemas.microsoft.com/office/drawing/2014/main" id="{00000000-0008-0000-1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1505" y="258911"/>
          <a:ext cx="442339" cy="986684"/>
        </a:xfrm>
        <a:prstGeom prst="rect">
          <a:avLst/>
        </a:prstGeom>
      </xdr:spPr>
    </xdr:pic>
    <xdr:clientData/>
  </xdr:twoCellAnchor>
  <xdr:twoCellAnchor>
    <xdr:from>
      <xdr:col>9</xdr:col>
      <xdr:colOff>363446</xdr:colOff>
      <xdr:row>2</xdr:row>
      <xdr:rowOff>17248</xdr:rowOff>
    </xdr:from>
    <xdr:to>
      <xdr:col>9</xdr:col>
      <xdr:colOff>809625</xdr:colOff>
      <xdr:row>3</xdr:row>
      <xdr:rowOff>20453</xdr:rowOff>
    </xdr:to>
    <xdr:pic>
      <xdr:nvPicPr>
        <xdr:cNvPr id="102" name="Рисунок 108" descr="корсика.png">
          <a:extLst>
            <a:ext uri="{FF2B5EF4-FFF2-40B4-BE49-F238E27FC236}">
              <a16:creationId xmlns="" xmlns:a16="http://schemas.microsoft.com/office/drawing/2014/main" id="{00000000-0008-0000-1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5446" y="255373"/>
          <a:ext cx="446179" cy="1015236"/>
        </a:xfrm>
        <a:prstGeom prst="rect">
          <a:avLst/>
        </a:prstGeom>
      </xdr:spPr>
    </xdr:pic>
    <xdr:clientData/>
  </xdr:twoCellAnchor>
  <xdr:twoCellAnchor>
    <xdr:from>
      <xdr:col>6</xdr:col>
      <xdr:colOff>426105</xdr:colOff>
      <xdr:row>2</xdr:row>
      <xdr:rowOff>35719</xdr:rowOff>
    </xdr:from>
    <xdr:to>
      <xdr:col>6</xdr:col>
      <xdr:colOff>866214</xdr:colOff>
      <xdr:row>3</xdr:row>
      <xdr:rowOff>35916</xdr:rowOff>
    </xdr:to>
    <xdr:pic>
      <xdr:nvPicPr>
        <xdr:cNvPr id="103" name="Рисунок 99" descr="корсика.png">
          <a:extLst>
            <a:ext uri="{FF2B5EF4-FFF2-40B4-BE49-F238E27FC236}">
              <a16:creationId xmlns="" xmlns:a16="http://schemas.microsoft.com/office/drawing/2014/main" id="{00000000-0008-0000-1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64730" y="273844"/>
          <a:ext cx="440109" cy="1012228"/>
        </a:xfrm>
        <a:prstGeom prst="rect">
          <a:avLst/>
        </a:prstGeom>
      </xdr:spPr>
    </xdr:pic>
    <xdr:clientData/>
  </xdr:twoCellAnchor>
  <xdr:twoCellAnchor>
    <xdr:from>
      <xdr:col>7</xdr:col>
      <xdr:colOff>486812</xdr:colOff>
      <xdr:row>1</xdr:row>
      <xdr:rowOff>237760</xdr:rowOff>
    </xdr:from>
    <xdr:to>
      <xdr:col>7</xdr:col>
      <xdr:colOff>904876</xdr:colOff>
      <xdr:row>3</xdr:row>
      <xdr:rowOff>42583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562" y="237760"/>
          <a:ext cx="418064" cy="10549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11</xdr:col>
      <xdr:colOff>5123</xdr:colOff>
      <xdr:row>26</xdr:row>
      <xdr:rowOff>123281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78483" y="9667875"/>
          <a:ext cx="5123" cy="123281"/>
        </a:xfrm>
        <a:prstGeom prst="rect">
          <a:avLst/>
        </a:prstGeom>
      </xdr:spPr>
    </xdr:pic>
    <xdr:clientData/>
  </xdr:twoCellAnchor>
  <xdr:twoCellAnchor>
    <xdr:from>
      <xdr:col>10</xdr:col>
      <xdr:colOff>504264</xdr:colOff>
      <xdr:row>1</xdr:row>
      <xdr:rowOff>226219</xdr:rowOff>
    </xdr:from>
    <xdr:to>
      <xdr:col>10</xdr:col>
      <xdr:colOff>970741</xdr:colOff>
      <xdr:row>2</xdr:row>
      <xdr:rowOff>1001732</xdr:rowOff>
    </xdr:to>
    <xdr:pic>
      <xdr:nvPicPr>
        <xdr:cNvPr id="21" name="Рисунок 42" descr="корсика.png">
          <a:extLst>
            <a:ext uri="{FF2B5EF4-FFF2-40B4-BE49-F238E27FC236}">
              <a16:creationId xmlns=""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267389" y="226219"/>
          <a:ext cx="466477" cy="1013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4</xdr:col>
      <xdr:colOff>445510</xdr:colOff>
      <xdr:row>38</xdr:row>
      <xdr:rowOff>103005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r="54249" b="50923"/>
        <a:stretch>
          <a:fillRect/>
        </a:stretch>
      </xdr:blipFill>
      <xdr:spPr>
        <a:xfrm>
          <a:off x="313765" y="13570324"/>
          <a:ext cx="2798745" cy="1806302"/>
        </a:xfrm>
        <a:prstGeom prst="rect">
          <a:avLst/>
        </a:prstGeom>
      </xdr:spPr>
    </xdr:pic>
    <xdr:clientData/>
  </xdr:twoCellAnchor>
  <xdr:oneCellAnchor>
    <xdr:from>
      <xdr:col>7</xdr:col>
      <xdr:colOff>729983</xdr:colOff>
      <xdr:row>31</xdr:row>
      <xdr:rowOff>0</xdr:rowOff>
    </xdr:from>
    <xdr:ext cx="5123" cy="47081"/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1858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8</xdr:col>
      <xdr:colOff>729983</xdr:colOff>
      <xdr:row>31</xdr:row>
      <xdr:rowOff>0</xdr:rowOff>
    </xdr:from>
    <xdr:ext cx="5123" cy="47081"/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02983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9</xdr:col>
      <xdr:colOff>729983</xdr:colOff>
      <xdr:row>31</xdr:row>
      <xdr:rowOff>0</xdr:rowOff>
    </xdr:from>
    <xdr:ext cx="5123" cy="47081"/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84108" y="16887825"/>
          <a:ext cx="5123" cy="4708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8</xdr:col>
      <xdr:colOff>5123</xdr:colOff>
      <xdr:row>7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522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7</xdr:row>
      <xdr:rowOff>0</xdr:rowOff>
    </xdr:from>
    <xdr:to>
      <xdr:col>8</xdr:col>
      <xdr:colOff>735106</xdr:colOff>
      <xdr:row>7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4520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7</xdr:row>
      <xdr:rowOff>0</xdr:rowOff>
    </xdr:from>
    <xdr:to>
      <xdr:col>5</xdr:col>
      <xdr:colOff>755516</xdr:colOff>
      <xdr:row>7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475646</xdr:colOff>
      <xdr:row>1</xdr:row>
      <xdr:rowOff>523876</xdr:rowOff>
    </xdr:from>
    <xdr:to>
      <xdr:col>6</xdr:col>
      <xdr:colOff>976311</xdr:colOff>
      <xdr:row>3</xdr:row>
      <xdr:rowOff>52619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64" t="22112" r="88998" b="2611"/>
        <a:stretch/>
      </xdr:blipFill>
      <xdr:spPr>
        <a:xfrm>
          <a:off x="5000021" y="750095"/>
          <a:ext cx="500665" cy="1195618"/>
        </a:xfrm>
        <a:prstGeom prst="rect">
          <a:avLst/>
        </a:prstGeom>
      </xdr:spPr>
    </xdr:pic>
    <xdr:clientData/>
  </xdr:twoCellAnchor>
  <xdr:twoCellAnchor editAs="oneCell">
    <xdr:from>
      <xdr:col>7</xdr:col>
      <xdr:colOff>523274</xdr:colOff>
      <xdr:row>1</xdr:row>
      <xdr:rowOff>521495</xdr:rowOff>
    </xdr:from>
    <xdr:to>
      <xdr:col>7</xdr:col>
      <xdr:colOff>1023937</xdr:colOff>
      <xdr:row>3</xdr:row>
      <xdr:rowOff>44258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618" t="22112" r="63144" b="2989"/>
        <a:stretch/>
      </xdr:blipFill>
      <xdr:spPr>
        <a:xfrm>
          <a:off x="7762274" y="747714"/>
          <a:ext cx="500663" cy="1189638"/>
        </a:xfrm>
        <a:prstGeom prst="rect">
          <a:avLst/>
        </a:prstGeom>
      </xdr:spPr>
    </xdr:pic>
    <xdr:clientData/>
  </xdr:twoCellAnchor>
  <xdr:twoCellAnchor editAs="oneCell">
    <xdr:from>
      <xdr:col>8</xdr:col>
      <xdr:colOff>570899</xdr:colOff>
      <xdr:row>1</xdr:row>
      <xdr:rowOff>519113</xdr:rowOff>
    </xdr:from>
    <xdr:to>
      <xdr:col>8</xdr:col>
      <xdr:colOff>1071563</xdr:colOff>
      <xdr:row>3</xdr:row>
      <xdr:rowOff>35897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2778" t="22112" r="36984" b="3365"/>
        <a:stretch/>
      </xdr:blipFill>
      <xdr:spPr>
        <a:xfrm>
          <a:off x="9452962" y="745332"/>
          <a:ext cx="500664" cy="1183659"/>
        </a:xfrm>
        <a:prstGeom prst="rect">
          <a:avLst/>
        </a:prstGeom>
      </xdr:spPr>
    </xdr:pic>
    <xdr:clientData/>
  </xdr:twoCellAnchor>
  <xdr:twoCellAnchor editAs="oneCell">
    <xdr:from>
      <xdr:col>9</xdr:col>
      <xdr:colOff>511966</xdr:colOff>
      <xdr:row>7</xdr:row>
      <xdr:rowOff>154783</xdr:rowOff>
    </xdr:from>
    <xdr:to>
      <xdr:col>9</xdr:col>
      <xdr:colOff>1000123</xdr:colOff>
      <xdr:row>9</xdr:row>
      <xdr:rowOff>97057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9023" t="22393" r="892" b="3272"/>
        <a:stretch/>
      </xdr:blipFill>
      <xdr:spPr>
        <a:xfrm>
          <a:off x="9965529" y="3143252"/>
          <a:ext cx="488157" cy="1168618"/>
        </a:xfrm>
        <a:prstGeom prst="rect">
          <a:avLst/>
        </a:prstGeom>
      </xdr:spPr>
    </xdr:pic>
    <xdr:clientData/>
  </xdr:twoCellAnchor>
  <xdr:twoCellAnchor editAs="oneCell">
    <xdr:from>
      <xdr:col>9</xdr:col>
      <xdr:colOff>488080</xdr:colOff>
      <xdr:row>2</xdr:row>
      <xdr:rowOff>2384</xdr:rowOff>
    </xdr:from>
    <xdr:to>
      <xdr:col>9</xdr:col>
      <xdr:colOff>1000124</xdr:colOff>
      <xdr:row>3</xdr:row>
      <xdr:rowOff>47626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663" t="22112" r="10946" b="3647"/>
        <a:stretch/>
      </xdr:blipFill>
      <xdr:spPr>
        <a:xfrm>
          <a:off x="11013205" y="764384"/>
          <a:ext cx="512044" cy="1188242"/>
        </a:xfrm>
        <a:prstGeom prst="rect">
          <a:avLst/>
        </a:prstGeom>
      </xdr:spPr>
    </xdr:pic>
    <xdr:clientData/>
  </xdr:twoCellAnchor>
  <xdr:twoCellAnchor editAs="oneCell">
    <xdr:from>
      <xdr:col>6</xdr:col>
      <xdr:colOff>488159</xdr:colOff>
      <xdr:row>7</xdr:row>
      <xdr:rowOff>154781</xdr:rowOff>
    </xdr:from>
    <xdr:to>
      <xdr:col>6</xdr:col>
      <xdr:colOff>965615</xdr:colOff>
      <xdr:row>9</xdr:row>
      <xdr:rowOff>71437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124" t="22488" r="78791" b="3177"/>
        <a:stretch/>
      </xdr:blipFill>
      <xdr:spPr>
        <a:xfrm>
          <a:off x="5012534" y="3143250"/>
          <a:ext cx="477456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500061</xdr:colOff>
      <xdr:row>7</xdr:row>
      <xdr:rowOff>119063</xdr:rowOff>
    </xdr:from>
    <xdr:to>
      <xdr:col>7</xdr:col>
      <xdr:colOff>1000124</xdr:colOff>
      <xdr:row>9</xdr:row>
      <xdr:rowOff>86900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795" t="22018" r="52967" b="2707"/>
        <a:stretch/>
      </xdr:blipFill>
      <xdr:spPr>
        <a:xfrm>
          <a:off x="6667499" y="3107532"/>
          <a:ext cx="500063" cy="1194181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571501</xdr:colOff>
      <xdr:row>7</xdr:row>
      <xdr:rowOff>166687</xdr:rowOff>
    </xdr:from>
    <xdr:to>
      <xdr:col>8</xdr:col>
      <xdr:colOff>1047750</xdr:colOff>
      <xdr:row>9</xdr:row>
      <xdr:rowOff>124028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1" y="3155156"/>
          <a:ext cx="476249" cy="11836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Telegram%20Desktop/!!!!&#1058;&#1077;&#1082;&#1091;&#1097;&#1080;&#1077;%20&#1087;&#1088;&#1072;&#1081;&#1089;&#1099;/&#1088;&#1072;&#1073;&#1086;&#1095;&#1080;&#1081;%20&#1087;&#1088;&#1072;&#1081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8;&#1072;&#1081;&#1089;%20&#1085;&#1072;%20&#1086;&#1089;&#1085;&#1086;&#1074;&#1085;&#1091;&#1102;%20&#1087;&#1088;&#1086;&#1076;&#1091;&#1082;&#1094;&#1080;&#1102;%2001%2006%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Telegram%20Desktop/&#1055;&#1088;&#1072;&#1081;&#1089;&#1099;%202020-2021/0.&#1055;&#1088;&#1072;&#1081;&#1089;-&#1083;&#1080;&#1089;&#1090;%20&#1058;&#1077;&#1088;&#1077;&#1084;%201%20&#1086;&#1082;&#1090;&#1103;&#1073;&#1088;&#1103;%20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текла сайт"/>
      <sheetName val="погонаж сайт"/>
      <sheetName val="полотна сайт"/>
      <sheetName val="кр"/>
      <sheetName val="К_пвх"/>
      <sheetName val="К_эмаль"/>
      <sheetName val="К_ясень"/>
      <sheetName val="К_дуб"/>
      <sheetName val="К_орех"/>
      <sheetName val="Декоры база"/>
      <sheetName val="скидки розница"/>
      <sheetName val="наценки РФ"/>
      <sheetName val="скидки_наценки"/>
      <sheetName val="изменения прайса"/>
      <sheetName val="Титул"/>
      <sheetName val="Содержание"/>
      <sheetName val="Перегородки база "/>
      <sheetName val="Полотна база"/>
      <sheetName val="Techno_Porte"/>
      <sheetName val="Techno_Vetro"/>
      <sheetName val="Techno_Slot"/>
      <sheetName val="Design"/>
      <sheetName val="Twist"/>
      <sheetName val="Fusion_Plain"/>
      <sheetName val="Fusion"/>
      <sheetName val="Eclectica_Stripe"/>
      <sheetName val="Elegance"/>
      <sheetName val="Modern Turin"/>
      <sheetName val="Modern Bergamo"/>
      <sheetName val="Provеnce Sienna"/>
      <sheetName val="Provеnce Amelia"/>
      <sheetName val="E-Classic"/>
      <sheetName val="Classic Rosso"/>
      <sheetName val="Classic Rimini "/>
      <sheetName val="Neoclassic"/>
      <sheetName val="Standart"/>
      <sheetName val="Standart Strada2"/>
      <sheetName val="Standart Vario"/>
      <sheetName val="Погонаж"/>
      <sheetName val="Погонаж база"/>
      <sheetName val="Алюм.погонаж"/>
      <sheetName val="Скрытая дверь РРЦ"/>
      <sheetName val="Скрытая дверь ОПТ"/>
      <sheetName val="Погонаж для прочих"/>
      <sheetName val="Стык.элементы"/>
      <sheetName val="Плинтуса"/>
      <sheetName val="Рейки"/>
      <sheetName val="Порталы"/>
      <sheetName val="Перегородки Corsa"/>
      <sheetName val="Перегородки Grazia"/>
      <sheetName val="Алюм. перегородки"/>
      <sheetName val="Стен. панели"/>
      <sheetName val="Фрамуги_накладки"/>
      <sheetName val="Двери для обьектов"/>
      <sheetName val="Двери жалюзи"/>
      <sheetName val="фурнитура база"/>
      <sheetName val="механизмы база"/>
      <sheetName val="Фурнитура складская"/>
      <sheetName val="Фурнитура"/>
      <sheetName val="Распашные системы откр"/>
      <sheetName val="Cистемы TWICE, ROTO"/>
      <sheetName val="Cистемы INVISIBLE"/>
      <sheetName val="Cистемы NORMAL"/>
      <sheetName val="Cистемы STEEL"/>
      <sheetName val="Наценки"/>
      <sheetName val="Покрытия_шпон_эмаль"/>
      <sheetName val="Покрытия_ПВХ"/>
      <sheetName val="Рекламная продукция"/>
      <sheetName val="Проче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7">
          <cell r="B27">
            <v>2135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0">
          <cell r="F30" t="str">
            <v>% корректировки</v>
          </cell>
        </row>
      </sheetData>
      <sheetData sheetId="18">
        <row r="7">
          <cell r="G7">
            <v>0</v>
          </cell>
        </row>
      </sheetData>
      <sheetData sheetId="19">
        <row r="7">
          <cell r="G7">
            <v>0</v>
          </cell>
        </row>
      </sheetData>
      <sheetData sheetId="20">
        <row r="7">
          <cell r="G7">
            <v>0</v>
          </cell>
        </row>
      </sheetData>
      <sheetData sheetId="21">
        <row r="7">
          <cell r="K7">
            <v>30550</v>
          </cell>
        </row>
      </sheetData>
      <sheetData sheetId="22">
        <row r="7">
          <cell r="G7">
            <v>0</v>
          </cell>
        </row>
      </sheetData>
      <sheetData sheetId="23">
        <row r="6">
          <cell r="G6">
            <v>0</v>
          </cell>
        </row>
      </sheetData>
      <sheetData sheetId="24">
        <row r="7">
          <cell r="G7">
            <v>0</v>
          </cell>
        </row>
      </sheetData>
      <sheetData sheetId="25">
        <row r="7">
          <cell r="G7" t="e">
            <v>#REF!</v>
          </cell>
        </row>
      </sheetData>
      <sheetData sheetId="26">
        <row r="6">
          <cell r="G6">
            <v>20950</v>
          </cell>
        </row>
        <row r="16">
          <cell r="G16">
            <v>2300</v>
          </cell>
          <cell r="H16">
            <v>1500</v>
          </cell>
          <cell r="I16">
            <v>1500</v>
          </cell>
        </row>
        <row r="17">
          <cell r="G17">
            <v>5000</v>
          </cell>
          <cell r="H17">
            <v>3300</v>
          </cell>
          <cell r="I17">
            <v>3300</v>
          </cell>
        </row>
        <row r="18">
          <cell r="G18">
            <v>5700</v>
          </cell>
          <cell r="H18">
            <v>3800</v>
          </cell>
          <cell r="I18">
            <v>3800</v>
          </cell>
        </row>
      </sheetData>
      <sheetData sheetId="27">
        <row r="7">
          <cell r="G7">
            <v>26450</v>
          </cell>
        </row>
      </sheetData>
      <sheetData sheetId="28">
        <row r="7">
          <cell r="G7">
            <v>29950</v>
          </cell>
        </row>
      </sheetData>
      <sheetData sheetId="29">
        <row r="7">
          <cell r="G7">
            <v>24450</v>
          </cell>
        </row>
      </sheetData>
      <sheetData sheetId="30">
        <row r="7">
          <cell r="G7">
            <v>29950</v>
          </cell>
        </row>
      </sheetData>
      <sheetData sheetId="31">
        <row r="6">
          <cell r="G6">
            <v>31550</v>
          </cell>
        </row>
        <row r="17">
          <cell r="G17">
            <v>2300</v>
          </cell>
          <cell r="H17">
            <v>1500</v>
          </cell>
        </row>
        <row r="18">
          <cell r="G18">
            <v>5000</v>
          </cell>
          <cell r="H18">
            <v>3300</v>
          </cell>
        </row>
        <row r="19">
          <cell r="G19">
            <v>5700</v>
          </cell>
          <cell r="H19">
            <v>3800</v>
          </cell>
        </row>
      </sheetData>
      <sheetData sheetId="32">
        <row r="7">
          <cell r="G7">
            <v>26000</v>
          </cell>
        </row>
      </sheetData>
      <sheetData sheetId="33">
        <row r="6">
          <cell r="G6">
            <v>23000</v>
          </cell>
        </row>
        <row r="25">
          <cell r="G25">
            <v>2300</v>
          </cell>
          <cell r="H25">
            <v>1500</v>
          </cell>
        </row>
        <row r="26">
          <cell r="G26">
            <v>5000</v>
          </cell>
          <cell r="H26">
            <v>3300</v>
          </cell>
        </row>
        <row r="27">
          <cell r="G27">
            <v>5700</v>
          </cell>
          <cell r="H27">
            <v>3800</v>
          </cell>
        </row>
      </sheetData>
      <sheetData sheetId="34">
        <row r="6">
          <cell r="H6">
            <v>0</v>
          </cell>
        </row>
      </sheetData>
      <sheetData sheetId="35">
        <row r="7">
          <cell r="G7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G6">
            <v>23450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текла сайт"/>
      <sheetName val="погонаж сайт"/>
      <sheetName val="полотна сайт"/>
      <sheetName val="кр"/>
      <sheetName val="К_пвх"/>
      <sheetName val="К_эмаль"/>
      <sheetName val="К_ясень"/>
      <sheetName val="К_дуб"/>
      <sheetName val="К_орех"/>
      <sheetName val="скидки розница"/>
      <sheetName val="наценки РФ"/>
      <sheetName val="скидки_наценки"/>
      <sheetName val="изменения прайса"/>
      <sheetName val="Титул"/>
      <sheetName val="Содержание"/>
      <sheetName val="Содержание (2)"/>
      <sheetName val="Techno_Porte"/>
      <sheetName val="стекло+зеркала_база"/>
      <sheetName val="Techno_Vetro"/>
      <sheetName val="Techno_Slot"/>
      <sheetName val="Design"/>
      <sheetName val="E-Design"/>
      <sheetName val="Twist"/>
      <sheetName val="Полотна база"/>
      <sheetName val="Fusion_Plainе"/>
      <sheetName val="Fusion"/>
      <sheetName val="Eclectica_Stripe"/>
      <sheetName val="Eclectica_Belluno"/>
      <sheetName val="Elegance"/>
      <sheetName val="Modern Turin"/>
      <sheetName val="Modern Bergamo"/>
      <sheetName val="Provеnce Sienna"/>
      <sheetName val="Provеnce Amelia"/>
      <sheetName val="E-Classic"/>
      <sheetName val="Classic Rosso"/>
      <sheetName val="Classic Rimini "/>
      <sheetName val="Neoclassic"/>
      <sheetName val="Standart"/>
      <sheetName val="Алюминивые двери Steel"/>
      <sheetName val="Погонаж база"/>
      <sheetName val="Алюм. двери Frame"/>
      <sheetName val="Алюм.погонаж"/>
      <sheetName val="Standart Strada2"/>
      <sheetName val="Standart Vario"/>
      <sheetName val="Декоры база"/>
      <sheetName val="Погонаж"/>
      <sheetName val="Скрытая дверь РРЦ"/>
      <sheetName val="Скрытая дверь ОПТ"/>
      <sheetName val="Погонаж для прочих"/>
      <sheetName val="Стык.элементы"/>
      <sheetName val="Плинтусы"/>
      <sheetName val="Рейки"/>
      <sheetName val="Порталы"/>
      <sheetName val="Стекла для перегородок"/>
      <sheetName val="Перегородки база "/>
      <sheetName val="Классические прегородки"/>
      <sheetName val="Современные перегородки"/>
      <sheetName val="Алюм. перегородки Meta_Steel"/>
      <sheetName val="Стен. панели"/>
      <sheetName val="Фрамуги_накладки"/>
      <sheetName val="Двери для обьектов"/>
      <sheetName val="Жалюзийные двери Louver"/>
      <sheetName val="Наценки (1)"/>
      <sheetName val="Наценки за габариты"/>
      <sheetName val="Прочее наценки"/>
      <sheetName val="Покрытия_шпон_эмаль"/>
      <sheetName val="Рекламная продукция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</v>
          </cell>
        </row>
        <row r="13">
          <cell r="D13">
            <v>1</v>
          </cell>
          <cell r="F13">
            <v>1</v>
          </cell>
        </row>
      </sheetData>
      <sheetData sheetId="12"/>
      <sheetData sheetId="13"/>
      <sheetData sheetId="14"/>
      <sheetData sheetId="15"/>
      <sheetData sheetId="16"/>
      <sheetData sheetId="17">
        <row r="79">
          <cell r="N79">
            <v>700</v>
          </cell>
        </row>
      </sheetData>
      <sheetData sheetId="18"/>
      <sheetData sheetId="19"/>
      <sheetData sheetId="20"/>
      <sheetData sheetId="21"/>
      <sheetData sheetId="22"/>
      <sheetData sheetId="23">
        <row r="15">
          <cell r="AS15">
            <v>36600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75">
          <cell r="C175">
            <v>3000</v>
          </cell>
        </row>
      </sheetData>
      <sheetData sheetId="45">
        <row r="11">
          <cell r="C11">
            <v>2350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1">
          <cell r="F31">
            <v>35050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скидки_наценки"/>
      <sheetName val="наценки РФ"/>
      <sheetName val="Титул"/>
      <sheetName val="Содержание_"/>
      <sheetName val="стекла"/>
      <sheetName val="Буквы"/>
      <sheetName val="Коэфф_полотно"/>
      <sheetName val="ОПТ"/>
      <sheetName val="ОПТ_с корр"/>
      <sheetName val="Розница"/>
      <sheetName val="Модели_соответствие"/>
      <sheetName val="Прочее_коэфф"/>
      <sheetName val="Classic "/>
      <sheetName val="E-Classic"/>
      <sheetName val="Modern Turin"/>
      <sheetName val="Modern Bergamo"/>
      <sheetName val="Fusion"/>
      <sheetName val="Neoclassic Garda"/>
      <sheetName val="Neoclassic Florence"/>
      <sheetName val="Standart Strada"/>
      <sheetName val="Standart Vario"/>
      <sheetName val="Techno"/>
      <sheetName val="Twist"/>
      <sheetName val="Design"/>
      <sheetName val="Provеnce Amelia"/>
      <sheetName val="Provеnce Sienna"/>
      <sheetName val="Погонаж_опт"/>
      <sheetName val="Погонаж"/>
      <sheetName val="Погонаж для прочих"/>
      <sheetName val="Стык.элементы"/>
      <sheetName val="Плинтуса"/>
      <sheetName val="Рейки"/>
      <sheetName val="Колонны"/>
      <sheetName val="Перегородки Corsa"/>
      <sheetName val="Перегородки Grazia"/>
      <sheetName val="Фрамуги, Стен. панели"/>
      <sheetName val="Скрытая дверь"/>
      <sheetName val="Двери жалюзи"/>
      <sheetName val="Фурнитура"/>
      <sheetName val="Распашные системы откр"/>
      <sheetName val="Фурнитура_коэф"/>
      <sheetName val="Распашные системы откр_УЕ"/>
      <sheetName val="Cистемы TWICE, ROTO"/>
      <sheetName val="Cистемы NORMAL"/>
      <sheetName val="Наценки"/>
      <sheetName val="Ограничения по размерам"/>
      <sheetName val="Дизайн_Размер"/>
      <sheetName val="Покрытия_свод_шпон_эмаль"/>
      <sheetName val="Покрытия_свод_artex "/>
      <sheetName val="Установка на системы открыв"/>
      <sheetName val="Сроки изготовления"/>
      <sheetName val="скидки_наценки (2)"/>
      <sheetName val="Cистемы TWICE, ROTO_УЕ"/>
      <sheetName val="Cистемы NORMAL_УЕ"/>
    </sheetNames>
    <sheetDataSet>
      <sheetData sheetId="0">
        <row r="3">
          <cell r="C3">
            <v>1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A6">
            <v>0</v>
          </cell>
        </row>
      </sheetData>
      <sheetData sheetId="7"/>
      <sheetData sheetId="8"/>
      <sheetData sheetId="9">
        <row r="5">
          <cell r="G5">
            <v>8033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9">
          <cell r="C39">
            <v>5728.1400000000012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7">
          <cell r="E47">
            <v>0</v>
          </cell>
        </row>
        <row r="48">
          <cell r="E48">
            <v>0</v>
          </cell>
        </row>
        <row r="49">
          <cell r="E49">
            <v>700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1466.85</v>
          </cell>
        </row>
        <row r="53">
          <cell r="E53">
            <v>0</v>
          </cell>
        </row>
        <row r="54">
          <cell r="E54">
            <v>0</v>
          </cell>
        </row>
        <row r="62">
          <cell r="E62">
            <v>0</v>
          </cell>
        </row>
      </sheetData>
      <sheetData sheetId="39"/>
      <sheetData sheetId="40">
        <row r="1">
          <cell r="C1">
            <v>89.25</v>
          </cell>
        </row>
      </sheetData>
      <sheetData sheetId="41">
        <row r="33">
          <cell r="H33">
            <v>20.555555555555557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8"/>
  <dimension ref="A1:D23"/>
  <sheetViews>
    <sheetView view="pageBreakPreview" zoomScale="80" zoomScaleNormal="100" zoomScaleSheetLayoutView="80" workbookViewId="0">
      <selection activeCell="C46" sqref="C46"/>
    </sheetView>
  </sheetViews>
  <sheetFormatPr defaultColWidth="9.140625" defaultRowHeight="15"/>
  <cols>
    <col min="1" max="1" width="9.7109375" style="113" bestFit="1" customWidth="1"/>
    <col min="2" max="2" width="6.42578125" style="113" customWidth="1"/>
    <col min="3" max="3" width="35.5703125" style="113" customWidth="1"/>
    <col min="4" max="4" width="11.85546875" style="113" customWidth="1"/>
    <col min="5" max="6" width="9.140625" style="113"/>
    <col min="7" max="7" width="11.7109375" style="113" customWidth="1"/>
    <col min="8" max="8" width="12.7109375" style="113" customWidth="1"/>
    <col min="9" max="16384" width="9.140625" style="113"/>
  </cols>
  <sheetData>
    <row r="1" spans="1:4" s="1053" customFormat="1">
      <c r="B1" s="1054" t="s">
        <v>307</v>
      </c>
    </row>
    <row r="4" spans="1:4">
      <c r="A4" s="490"/>
    </row>
    <row r="7" spans="1:4" ht="21">
      <c r="A7" s="464" t="s">
        <v>623</v>
      </c>
    </row>
    <row r="10" spans="1:4">
      <c r="A10" s="461"/>
      <c r="B10" s="2535" t="s">
        <v>205</v>
      </c>
      <c r="C10" s="529" t="s">
        <v>604</v>
      </c>
      <c r="D10" s="2535" t="s">
        <v>606</v>
      </c>
    </row>
    <row r="11" spans="1:4" ht="30">
      <c r="A11" s="462"/>
      <c r="B11" s="2535"/>
      <c r="C11" s="529" t="s">
        <v>605</v>
      </c>
      <c r="D11" s="2535"/>
    </row>
    <row r="12" spans="1:4">
      <c r="A12" s="462"/>
      <c r="B12" s="2535"/>
      <c r="C12" s="530" t="s">
        <v>607</v>
      </c>
      <c r="D12" s="2535"/>
    </row>
    <row r="13" spans="1:4">
      <c r="A13" s="462"/>
      <c r="B13" s="531">
        <v>1</v>
      </c>
      <c r="C13" s="532" t="s">
        <v>608</v>
      </c>
      <c r="D13" s="533">
        <v>1</v>
      </c>
    </row>
    <row r="14" spans="1:4">
      <c r="A14" s="462"/>
      <c r="B14" s="531">
        <v>2</v>
      </c>
      <c r="C14" s="532" t="s">
        <v>609</v>
      </c>
      <c r="D14" s="533">
        <v>2</v>
      </c>
    </row>
    <row r="15" spans="1:4">
      <c r="A15" s="462"/>
      <c r="B15" s="531">
        <v>3</v>
      </c>
      <c r="C15" s="532" t="s">
        <v>610</v>
      </c>
      <c r="D15" s="533">
        <v>3</v>
      </c>
    </row>
    <row r="16" spans="1:4">
      <c r="A16" s="462"/>
      <c r="B16" s="531">
        <v>4</v>
      </c>
      <c r="C16" s="532" t="s">
        <v>611</v>
      </c>
      <c r="D16" s="533">
        <v>4</v>
      </c>
    </row>
    <row r="17" spans="1:4">
      <c r="A17" s="462"/>
      <c r="B17" s="531">
        <v>5</v>
      </c>
      <c r="C17" s="532" t="s">
        <v>612</v>
      </c>
      <c r="D17" s="533">
        <v>5</v>
      </c>
    </row>
    <row r="18" spans="1:4">
      <c r="A18" s="462"/>
      <c r="B18" s="531">
        <v>6</v>
      </c>
      <c r="C18" s="532" t="s">
        <v>613</v>
      </c>
      <c r="D18" s="533">
        <v>7</v>
      </c>
    </row>
    <row r="19" spans="1:4">
      <c r="A19" s="462"/>
      <c r="B19" s="531">
        <v>7</v>
      </c>
      <c r="C19" s="532" t="s">
        <v>614</v>
      </c>
      <c r="D19" s="533">
        <v>10</v>
      </c>
    </row>
    <row r="23" spans="1:4">
      <c r="C23" s="463"/>
    </row>
  </sheetData>
  <mergeCells count="2">
    <mergeCell ref="B10:B12"/>
    <mergeCell ref="D10:D12"/>
  </mergeCells>
  <hyperlinks>
    <hyperlink ref="B1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scale="78" orientation="portrait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1:FC50"/>
  <sheetViews>
    <sheetView topLeftCell="A5" zoomScale="85" zoomScaleNormal="85" zoomScaleSheetLayoutView="91" zoomScalePageLayoutView="55" workbookViewId="0">
      <selection activeCell="A11" sqref="A11:B11"/>
    </sheetView>
  </sheetViews>
  <sheetFormatPr defaultColWidth="9.140625" defaultRowHeight="12.75" outlineLevelRow="2" outlineLevelCol="1"/>
  <cols>
    <col min="1" max="1" width="15" style="884" customWidth="1"/>
    <col min="2" max="2" width="15.42578125" style="884" bestFit="1" customWidth="1"/>
    <col min="3" max="3" width="8.5703125" style="885" hidden="1" customWidth="1" outlineLevel="1"/>
    <col min="4" max="4" width="9.5703125" style="884" hidden="1" customWidth="1" outlineLevel="1"/>
    <col min="5" max="5" width="9.140625" style="884" collapsed="1"/>
    <col min="6" max="7" width="9.140625" style="884"/>
    <col min="8" max="8" width="13.7109375" style="884" customWidth="1"/>
    <col min="9" max="9" width="17.42578125" style="884" customWidth="1"/>
    <col min="10" max="10" width="20.28515625" style="884" customWidth="1"/>
    <col min="11" max="12" width="9.140625" style="884"/>
    <col min="13" max="14" width="10.7109375" style="884" customWidth="1"/>
    <col min="15" max="16384" width="9.140625" style="884"/>
  </cols>
  <sheetData>
    <row r="1" spans="1:159" s="471" customFormat="1" ht="15" hidden="1" outlineLevel="1">
      <c r="A1" s="2817" t="s">
        <v>875</v>
      </c>
      <c r="B1" s="2817"/>
      <c r="C1" s="2817"/>
      <c r="D1" s="300"/>
      <c r="E1" s="2818" t="s">
        <v>876</v>
      </c>
      <c r="F1" s="2819"/>
      <c r="G1" s="2820"/>
      <c r="H1" s="61"/>
      <c r="I1" s="61"/>
      <c r="J1" s="61"/>
      <c r="K1" s="61"/>
      <c r="L1" s="61"/>
      <c r="M1" s="61"/>
      <c r="N1" s="61"/>
      <c r="O1" s="61"/>
      <c r="P1" s="61"/>
      <c r="Q1" s="61" t="s">
        <v>4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</row>
    <row r="2" spans="1:159" s="471" customFormat="1" ht="15" hidden="1" outlineLevel="1">
      <c r="A2" s="672" t="s">
        <v>866</v>
      </c>
      <c r="B2" s="673">
        <v>2.9</v>
      </c>
      <c r="C2" s="2389" t="s">
        <v>872</v>
      </c>
      <c r="D2" s="300"/>
      <c r="E2" s="672" t="s">
        <v>866</v>
      </c>
      <c r="F2" s="673">
        <v>1.35</v>
      </c>
      <c r="G2" s="2389" t="s">
        <v>872</v>
      </c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</row>
    <row r="3" spans="1:159" s="471" customFormat="1" ht="15" hidden="1" outlineLevel="1">
      <c r="A3" s="672" t="s">
        <v>867</v>
      </c>
      <c r="B3" s="673">
        <v>1.7</v>
      </c>
      <c r="C3" s="2389" t="s">
        <v>873</v>
      </c>
      <c r="D3" s="300"/>
      <c r="E3" s="672" t="s">
        <v>867</v>
      </c>
      <c r="F3" s="673">
        <v>1.7</v>
      </c>
      <c r="G3" s="2389" t="s">
        <v>873</v>
      </c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</row>
    <row r="4" spans="1:159" s="471" customFormat="1" ht="15" hidden="1" customHeight="1" outlineLevel="1">
      <c r="B4" s="667"/>
      <c r="D4" s="300"/>
      <c r="E4" s="300"/>
      <c r="F4" s="300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0"/>
      <c r="EU4" s="60"/>
      <c r="EV4" s="60"/>
      <c r="EW4" s="60"/>
      <c r="EX4" s="60"/>
      <c r="EY4" s="60"/>
      <c r="EZ4" s="60"/>
      <c r="FA4" s="60"/>
      <c r="FB4" s="60"/>
      <c r="FC4" s="2366"/>
    </row>
    <row r="5" spans="1:159" s="138" customFormat="1" ht="15" customHeight="1" collapsed="1">
      <c r="A5" s="2390" t="s">
        <v>1800</v>
      </c>
      <c r="C5" s="828"/>
    </row>
    <row r="6" spans="1:159" s="835" customFormat="1" ht="15.95" hidden="1" customHeight="1" outlineLevel="1">
      <c r="A6" s="2374">
        <v>1.05</v>
      </c>
      <c r="B6" s="1780" t="s">
        <v>2196</v>
      </c>
      <c r="C6" s="833"/>
    </row>
    <row r="7" spans="1:159" s="835" customFormat="1" ht="15.95" hidden="1" customHeight="1" outlineLevel="1">
      <c r="A7" s="832"/>
      <c r="B7" s="832"/>
      <c r="C7" s="833"/>
    </row>
    <row r="8" spans="1:159" s="835" customFormat="1" ht="15.95" hidden="1" customHeight="1" outlineLevel="1">
      <c r="A8" s="912"/>
      <c r="B8" s="912"/>
    </row>
    <row r="9" spans="1:159" s="838" customFormat="1" ht="15" hidden="1" outlineLevel="1">
      <c r="A9" s="1662" t="s">
        <v>2199</v>
      </c>
      <c r="B9" s="1663"/>
      <c r="C9" s="1664"/>
    </row>
    <row r="10" spans="1:159" s="139" customFormat="1" ht="15" hidden="1" customHeight="1" outlineLevel="2">
      <c r="A10" s="2774" t="s">
        <v>760</v>
      </c>
      <c r="B10" s="2774"/>
      <c r="C10" s="840"/>
      <c r="D10" s="910" t="s">
        <v>284</v>
      </c>
      <c r="E10" s="2822" t="s">
        <v>2277</v>
      </c>
      <c r="F10" s="2822"/>
      <c r="G10" s="2822"/>
      <c r="H10" s="2822"/>
      <c r="I10" s="2821" t="s">
        <v>2280</v>
      </c>
      <c r="J10" s="2821"/>
      <c r="K10" s="2822" t="s">
        <v>85</v>
      </c>
      <c r="L10" s="2822"/>
      <c r="M10" s="2816" t="s">
        <v>2288</v>
      </c>
      <c r="N10" s="2816"/>
    </row>
    <row r="11" spans="1:159" s="595" customFormat="1" ht="71.25" hidden="1" customHeight="1" outlineLevel="2">
      <c r="A11" s="2774"/>
      <c r="B11" s="2774"/>
      <c r="C11" s="840"/>
      <c r="D11" s="892" t="s">
        <v>1083</v>
      </c>
      <c r="E11" s="2823" t="s">
        <v>2278</v>
      </c>
      <c r="F11" s="2823"/>
      <c r="G11" s="2823"/>
      <c r="H11" s="1298" t="s">
        <v>2279</v>
      </c>
      <c r="I11" s="2824" t="s">
        <v>2281</v>
      </c>
      <c r="J11" s="2824" t="s">
        <v>2282</v>
      </c>
      <c r="K11" s="2823" t="s">
        <v>2283</v>
      </c>
      <c r="L11" s="2823"/>
      <c r="M11" s="2816"/>
      <c r="N11" s="2816"/>
    </row>
    <row r="12" spans="1:159" s="879" customFormat="1" ht="24" hidden="1" customHeight="1" outlineLevel="2">
      <c r="A12" s="2752" t="s">
        <v>761</v>
      </c>
      <c r="B12" s="2752"/>
      <c r="C12" s="868"/>
      <c r="D12" s="871" t="s">
        <v>1068</v>
      </c>
      <c r="E12" s="2504" t="s">
        <v>1399</v>
      </c>
      <c r="F12" s="2504" t="s">
        <v>1400</v>
      </c>
      <c r="G12" s="2504" t="s">
        <v>1401</v>
      </c>
      <c r="H12" s="2504" t="s">
        <v>1401</v>
      </c>
      <c r="I12" s="2824"/>
      <c r="J12" s="2824"/>
      <c r="K12" s="2504" t="s">
        <v>2284</v>
      </c>
      <c r="L12" s="2504" t="s">
        <v>1164</v>
      </c>
      <c r="M12" s="2504" t="s">
        <v>2289</v>
      </c>
      <c r="N12" s="2504" t="s">
        <v>2290</v>
      </c>
    </row>
    <row r="13" spans="1:159" s="898" customFormat="1" hidden="1" outlineLevel="2">
      <c r="A13" s="2753" t="s">
        <v>762</v>
      </c>
      <c r="B13" s="2754"/>
      <c r="C13" s="888"/>
      <c r="D13" s="1665"/>
      <c r="E13" s="2505"/>
      <c r="F13" s="2506">
        <v>1.2</v>
      </c>
      <c r="G13" s="2506">
        <v>1.4038461538461537</v>
      </c>
      <c r="H13" s="2507">
        <v>1.1499999999999999</v>
      </c>
      <c r="I13" s="2505"/>
      <c r="J13" s="2507">
        <v>2</v>
      </c>
      <c r="K13" s="2505"/>
      <c r="L13" s="2506">
        <v>2</v>
      </c>
      <c r="M13" s="2506"/>
      <c r="N13" s="2506">
        <v>1.5</v>
      </c>
    </row>
    <row r="14" spans="1:159" s="595" customFormat="1" ht="15.75" hidden="1" customHeight="1" outlineLevel="2">
      <c r="A14" s="1679" t="s">
        <v>666</v>
      </c>
      <c r="B14" s="880" t="s">
        <v>1045</v>
      </c>
      <c r="C14" s="886"/>
      <c r="D14" s="1678">
        <f>CEILING(D35*$A$6,50)</f>
        <v>13850</v>
      </c>
      <c r="E14" s="1678">
        <f>CEILING(E35*$A$6,50)</f>
        <v>2750</v>
      </c>
      <c r="F14" s="1678">
        <f>CEILING(E14*F13, 50)</f>
        <v>3300</v>
      </c>
      <c r="G14" s="1678">
        <f>CEILING(E14*G13, 50)</f>
        <v>3900</v>
      </c>
      <c r="H14" s="1678">
        <f>CEILING(G14*H13, 50)</f>
        <v>4500</v>
      </c>
      <c r="I14" s="1678">
        <f>CEILING(I35*$A$6,50)</f>
        <v>7900</v>
      </c>
      <c r="J14" s="1678">
        <f>CEILING(I14*J13, 50)</f>
        <v>15800</v>
      </c>
      <c r="K14" s="1678">
        <f>CEILING(K35*$A$6,50)</f>
        <v>1900</v>
      </c>
      <c r="L14" s="1678">
        <f>CEILING(K14*L13, 50)</f>
        <v>3800</v>
      </c>
      <c r="M14" s="1678">
        <f>CEILING(M35*$A$6,50)</f>
        <v>1750</v>
      </c>
      <c r="N14" s="1678">
        <f>CEILING(M14*N13, 50)</f>
        <v>2650</v>
      </c>
    </row>
    <row r="15" spans="1:159" s="595" customFormat="1" ht="15.75" hidden="1" customHeight="1" outlineLevel="2">
      <c r="A15" s="1679"/>
      <c r="B15" s="880" t="s">
        <v>264</v>
      </c>
      <c r="C15" s="1292">
        <v>1.1000000000000001</v>
      </c>
      <c r="D15" s="589">
        <f>CEILING(D14*$C$15, 10)</f>
        <v>15240</v>
      </c>
      <c r="E15" s="589">
        <f t="shared" ref="E15:L15" si="0">CEILING(E14*$C$15, 10)</f>
        <v>3030</v>
      </c>
      <c r="F15" s="589">
        <f t="shared" si="0"/>
        <v>3630</v>
      </c>
      <c r="G15" s="589">
        <f t="shared" si="0"/>
        <v>4290</v>
      </c>
      <c r="H15" s="589">
        <f t="shared" si="0"/>
        <v>4950</v>
      </c>
      <c r="I15" s="589">
        <f t="shared" si="0"/>
        <v>8690</v>
      </c>
      <c r="J15" s="589">
        <f t="shared" si="0"/>
        <v>17380</v>
      </c>
      <c r="K15" s="589">
        <f t="shared" si="0"/>
        <v>2090</v>
      </c>
      <c r="L15" s="589">
        <f t="shared" si="0"/>
        <v>4180</v>
      </c>
      <c r="M15" s="589">
        <f>CEILING(M14*$C$15, 10)</f>
        <v>1930</v>
      </c>
      <c r="N15" s="589">
        <f>CEILING(N14*$C$15, 10)</f>
        <v>2920</v>
      </c>
    </row>
    <row r="16" spans="1:159" s="595" customFormat="1" ht="15.75" hidden="1" customHeight="1" outlineLevel="2">
      <c r="A16" s="2693"/>
      <c r="B16" s="880" t="s">
        <v>263</v>
      </c>
      <c r="C16" s="1292">
        <v>1.2</v>
      </c>
      <c r="D16" s="589">
        <f>CEILING(D14*$C$16, 10)</f>
        <v>16620</v>
      </c>
      <c r="E16" s="589">
        <f t="shared" ref="E16:L16" si="1">CEILING(E14*$C$16, 10)</f>
        <v>3300</v>
      </c>
      <c r="F16" s="589">
        <f t="shared" si="1"/>
        <v>3960</v>
      </c>
      <c r="G16" s="589">
        <f t="shared" si="1"/>
        <v>4680</v>
      </c>
      <c r="H16" s="589">
        <f t="shared" si="1"/>
        <v>5400</v>
      </c>
      <c r="I16" s="589">
        <f t="shared" si="1"/>
        <v>9480</v>
      </c>
      <c r="J16" s="589">
        <f t="shared" si="1"/>
        <v>18960</v>
      </c>
      <c r="K16" s="589">
        <f t="shared" si="1"/>
        <v>2280</v>
      </c>
      <c r="L16" s="589">
        <f t="shared" si="1"/>
        <v>4560</v>
      </c>
      <c r="M16" s="589">
        <f>CEILING(M14*$C$16, 10)</f>
        <v>2100</v>
      </c>
      <c r="N16" s="589">
        <f>CEILING(N14*$C$16, 10)</f>
        <v>3180</v>
      </c>
    </row>
    <row r="17" spans="1:14" s="595" customFormat="1" ht="15.75" hidden="1" customHeight="1" outlineLevel="2">
      <c r="A17" s="2694"/>
      <c r="B17" s="880" t="s">
        <v>907</v>
      </c>
      <c r="C17" s="1292">
        <v>1.45</v>
      </c>
      <c r="D17" s="589">
        <f>CEILING(D14*$C$17, 10)</f>
        <v>20090</v>
      </c>
      <c r="E17" s="589">
        <f t="shared" ref="E17:L17" si="2">CEILING(E14*$C$17, 10)</f>
        <v>3990</v>
      </c>
      <c r="F17" s="589">
        <f t="shared" si="2"/>
        <v>4790</v>
      </c>
      <c r="G17" s="589">
        <f t="shared" si="2"/>
        <v>5660</v>
      </c>
      <c r="H17" s="589">
        <f t="shared" si="2"/>
        <v>6530</v>
      </c>
      <c r="I17" s="589">
        <f t="shared" si="2"/>
        <v>11460</v>
      </c>
      <c r="J17" s="589">
        <f t="shared" si="2"/>
        <v>22910</v>
      </c>
      <c r="K17" s="589">
        <f t="shared" si="2"/>
        <v>2760</v>
      </c>
      <c r="L17" s="589">
        <f t="shared" si="2"/>
        <v>5510</v>
      </c>
      <c r="M17" s="589">
        <f>CEILING(M14*$C$17, 10)</f>
        <v>2540</v>
      </c>
      <c r="N17" s="589">
        <f>CEILING(N14*$C$17, 10)</f>
        <v>3850</v>
      </c>
    </row>
    <row r="18" spans="1:14" s="838" customFormat="1" hidden="1" outlineLevel="2">
      <c r="B18" s="880" t="s">
        <v>1489</v>
      </c>
      <c r="C18" s="1292">
        <v>1.2</v>
      </c>
      <c r="D18" s="589">
        <f>CEILING(D17*$C$18, 10)</f>
        <v>24110</v>
      </c>
      <c r="E18" s="589">
        <f t="shared" ref="E18:L18" si="3">CEILING(E17*$C$18, 10)</f>
        <v>4790</v>
      </c>
      <c r="F18" s="589">
        <f t="shared" si="3"/>
        <v>5750</v>
      </c>
      <c r="G18" s="589">
        <f t="shared" si="3"/>
        <v>6800</v>
      </c>
      <c r="H18" s="589">
        <f t="shared" si="3"/>
        <v>7840</v>
      </c>
      <c r="I18" s="589">
        <f t="shared" si="3"/>
        <v>13760</v>
      </c>
      <c r="J18" s="589">
        <f t="shared" si="3"/>
        <v>27500</v>
      </c>
      <c r="K18" s="589">
        <f t="shared" si="3"/>
        <v>3320</v>
      </c>
      <c r="L18" s="589">
        <f t="shared" si="3"/>
        <v>6620</v>
      </c>
      <c r="M18" s="589">
        <f>CEILING(M17*$C$18, 10)</f>
        <v>3050</v>
      </c>
      <c r="N18" s="589">
        <f>CEILING(N17*$C$18, 10)</f>
        <v>4620</v>
      </c>
    </row>
    <row r="19" spans="1:14" s="838" customFormat="1" hidden="1" outlineLevel="2">
      <c r="B19" s="2517"/>
    </row>
    <row r="20" spans="1:14" s="2375" customFormat="1" ht="15" hidden="1" outlineLevel="1">
      <c r="A20" s="2377" t="s">
        <v>1067</v>
      </c>
      <c r="B20" s="2378"/>
    </row>
    <row r="21" spans="1:14" s="1869" customFormat="1" ht="15" hidden="1" customHeight="1" outlineLevel="2">
      <c r="A21" s="2827" t="s">
        <v>760</v>
      </c>
      <c r="B21" s="2827"/>
      <c r="C21" s="2379"/>
      <c r="D21" s="910" t="s">
        <v>284</v>
      </c>
      <c r="E21" s="2822" t="s">
        <v>2277</v>
      </c>
      <c r="F21" s="2822"/>
      <c r="G21" s="2822"/>
      <c r="H21" s="2822"/>
      <c r="I21" s="2821" t="s">
        <v>2280</v>
      </c>
      <c r="J21" s="2821"/>
      <c r="K21" s="2822" t="s">
        <v>85</v>
      </c>
      <c r="L21" s="2822"/>
      <c r="M21" s="2816" t="s">
        <v>2288</v>
      </c>
      <c r="N21" s="2816"/>
    </row>
    <row r="22" spans="1:14" s="595" customFormat="1" ht="54.75" hidden="1" customHeight="1" outlineLevel="2">
      <c r="A22" s="2827"/>
      <c r="B22" s="2827"/>
      <c r="C22" s="2381">
        <v>0.39</v>
      </c>
      <c r="D22" s="892" t="s">
        <v>1082</v>
      </c>
      <c r="E22" s="2823" t="s">
        <v>2278</v>
      </c>
      <c r="F22" s="2823"/>
      <c r="G22" s="2823"/>
      <c r="H22" s="1298" t="s">
        <v>2279</v>
      </c>
      <c r="I22" s="2824" t="s">
        <v>2281</v>
      </c>
      <c r="J22" s="2824" t="s">
        <v>2282</v>
      </c>
      <c r="K22" s="2823" t="s">
        <v>2283</v>
      </c>
      <c r="L22" s="2823"/>
      <c r="M22" s="2816"/>
      <c r="N22" s="2816"/>
    </row>
    <row r="23" spans="1:14" s="879" customFormat="1" ht="24" hidden="1" customHeight="1" outlineLevel="2">
      <c r="A23" s="2826" t="s">
        <v>761</v>
      </c>
      <c r="B23" s="2826"/>
      <c r="C23" s="2382"/>
      <c r="D23" s="871" t="s">
        <v>1068</v>
      </c>
      <c r="E23" s="2504" t="s">
        <v>1399</v>
      </c>
      <c r="F23" s="2504" t="s">
        <v>1400</v>
      </c>
      <c r="G23" s="2504" t="s">
        <v>1401</v>
      </c>
      <c r="H23" s="2504" t="s">
        <v>1401</v>
      </c>
      <c r="I23" s="2824"/>
      <c r="J23" s="2824"/>
      <c r="K23" s="2504" t="s">
        <v>2284</v>
      </c>
      <c r="L23" s="2504" t="s">
        <v>1164</v>
      </c>
      <c r="M23" s="2504" t="s">
        <v>2289</v>
      </c>
      <c r="N23" s="2504" t="s">
        <v>2290</v>
      </c>
    </row>
    <row r="24" spans="1:14" s="595" customFormat="1" hidden="1" outlineLevel="2">
      <c r="A24" s="2825" t="s">
        <v>666</v>
      </c>
      <c r="B24" s="2383" t="s">
        <v>1045</v>
      </c>
      <c r="C24" s="2384"/>
      <c r="D24" s="2385">
        <f>D14*(1-$C$22)</f>
        <v>8448.5</v>
      </c>
      <c r="E24" s="2385">
        <f t="shared" ref="E24:L24" si="4">E14*(1-$C$22)</f>
        <v>1677.5</v>
      </c>
      <c r="F24" s="2385">
        <f t="shared" si="4"/>
        <v>2013</v>
      </c>
      <c r="G24" s="2385">
        <f t="shared" si="4"/>
        <v>2379</v>
      </c>
      <c r="H24" s="2385">
        <f t="shared" si="4"/>
        <v>2745</v>
      </c>
      <c r="I24" s="2385">
        <f t="shared" si="4"/>
        <v>4819</v>
      </c>
      <c r="J24" s="2385">
        <f t="shared" si="4"/>
        <v>9638</v>
      </c>
      <c r="K24" s="2385">
        <f t="shared" si="4"/>
        <v>1159</v>
      </c>
      <c r="L24" s="2385">
        <f t="shared" si="4"/>
        <v>2318</v>
      </c>
      <c r="M24" s="2385">
        <f t="shared" ref="M24" si="5">M14*(1-$C$22)</f>
        <v>1067.5</v>
      </c>
      <c r="N24" s="2385"/>
    </row>
    <row r="25" spans="1:14" s="595" customFormat="1" hidden="1" outlineLevel="2">
      <c r="A25" s="2825"/>
      <c r="B25" s="2383" t="s">
        <v>264</v>
      </c>
      <c r="C25" s="2384"/>
      <c r="D25" s="2385">
        <f>D15*(1-$C$22)</f>
        <v>9296.4</v>
      </c>
      <c r="E25" s="2385">
        <f t="shared" ref="E25:M25" si="6">E15*(1-$C$22)</f>
        <v>1848.3</v>
      </c>
      <c r="F25" s="2385">
        <f t="shared" si="6"/>
        <v>2214.2999999999997</v>
      </c>
      <c r="G25" s="2385">
        <f t="shared" si="6"/>
        <v>2616.9</v>
      </c>
      <c r="H25" s="2385">
        <f t="shared" si="6"/>
        <v>3019.5</v>
      </c>
      <c r="I25" s="2385">
        <f t="shared" si="6"/>
        <v>5300.9</v>
      </c>
      <c r="J25" s="2385">
        <f t="shared" si="6"/>
        <v>10601.8</v>
      </c>
      <c r="K25" s="2385">
        <f t="shared" si="6"/>
        <v>1274.8999999999999</v>
      </c>
      <c r="L25" s="2385">
        <f t="shared" si="6"/>
        <v>2549.7999999999997</v>
      </c>
      <c r="M25" s="2385">
        <f t="shared" si="6"/>
        <v>1177.3</v>
      </c>
      <c r="N25" s="2385"/>
    </row>
    <row r="26" spans="1:14" s="2376" customFormat="1" ht="15.75" hidden="1" outlineLevel="2">
      <c r="A26" s="2386"/>
      <c r="B26" s="2383" t="s">
        <v>263</v>
      </c>
      <c r="C26" s="2387"/>
      <c r="D26" s="2385">
        <f>D16*(1-$C$22)</f>
        <v>10138.199999999999</v>
      </c>
      <c r="E26" s="2385">
        <f t="shared" ref="E26:M26" si="7">E16*(1-$C$22)</f>
        <v>2013</v>
      </c>
      <c r="F26" s="2385">
        <f t="shared" si="7"/>
        <v>2415.6</v>
      </c>
      <c r="G26" s="2385">
        <f t="shared" si="7"/>
        <v>2854.7999999999997</v>
      </c>
      <c r="H26" s="2385">
        <f t="shared" si="7"/>
        <v>3294</v>
      </c>
      <c r="I26" s="2385">
        <f t="shared" si="7"/>
        <v>5782.8</v>
      </c>
      <c r="J26" s="2385">
        <f t="shared" si="7"/>
        <v>11565.6</v>
      </c>
      <c r="K26" s="2385">
        <f t="shared" si="7"/>
        <v>1390.8</v>
      </c>
      <c r="L26" s="2385">
        <f t="shared" si="7"/>
        <v>2781.6</v>
      </c>
      <c r="M26" s="2385">
        <f t="shared" si="7"/>
        <v>1281</v>
      </c>
      <c r="N26" s="2385"/>
    </row>
    <row r="27" spans="1:14" s="2376" customFormat="1" ht="15.75" hidden="1" customHeight="1" outlineLevel="2">
      <c r="A27" s="2388"/>
      <c r="B27" s="880" t="s">
        <v>907</v>
      </c>
      <c r="C27" s="2387"/>
      <c r="D27" s="2385">
        <f>D17*(1-$C$22)</f>
        <v>12254.9</v>
      </c>
      <c r="E27" s="2385">
        <f t="shared" ref="E27:L28" si="8">E17*(1-$C$22)</f>
        <v>2433.9</v>
      </c>
      <c r="F27" s="2385">
        <f t="shared" si="8"/>
        <v>2921.9</v>
      </c>
      <c r="G27" s="2385">
        <f t="shared" si="8"/>
        <v>3452.6</v>
      </c>
      <c r="H27" s="2385">
        <f t="shared" si="8"/>
        <v>3983.2999999999997</v>
      </c>
      <c r="I27" s="2385">
        <f t="shared" si="8"/>
        <v>6990.5999999999995</v>
      </c>
      <c r="J27" s="2385">
        <f t="shared" si="8"/>
        <v>13975.1</v>
      </c>
      <c r="K27" s="2385">
        <f t="shared" si="8"/>
        <v>1683.6</v>
      </c>
      <c r="L27" s="2385">
        <f t="shared" si="8"/>
        <v>3361.1</v>
      </c>
      <c r="M27" s="2385">
        <f t="shared" ref="M27" si="9">M17*(1-$C$22)</f>
        <v>1549.3999999999999</v>
      </c>
      <c r="N27" s="2385"/>
    </row>
    <row r="28" spans="1:14" s="838" customFormat="1" hidden="1" outlineLevel="2">
      <c r="A28" s="1787"/>
      <c r="B28" s="880" t="s">
        <v>1489</v>
      </c>
      <c r="C28" s="2387"/>
      <c r="D28" s="2385">
        <f>D18*(1-$C$22)</f>
        <v>14707.1</v>
      </c>
      <c r="E28" s="2385">
        <f t="shared" si="8"/>
        <v>2921.9</v>
      </c>
      <c r="F28" s="2385">
        <f t="shared" si="8"/>
        <v>3507.5</v>
      </c>
      <c r="G28" s="2385">
        <f t="shared" si="8"/>
        <v>4148</v>
      </c>
      <c r="H28" s="2385">
        <f t="shared" si="8"/>
        <v>4782.3999999999996</v>
      </c>
      <c r="I28" s="2385">
        <f t="shared" si="8"/>
        <v>8393.6</v>
      </c>
      <c r="J28" s="2385">
        <f t="shared" si="8"/>
        <v>16775</v>
      </c>
      <c r="K28" s="2385">
        <f t="shared" si="8"/>
        <v>2025.2</v>
      </c>
      <c r="L28" s="2385">
        <f t="shared" si="8"/>
        <v>4038.2</v>
      </c>
      <c r="M28" s="2385">
        <f t="shared" ref="M28" si="10">M18*(1-$C$22)</f>
        <v>1860.5</v>
      </c>
      <c r="N28" s="2385"/>
    </row>
    <row r="29" spans="1:14" s="838" customFormat="1" ht="24.6" hidden="1" customHeight="1" outlineLevel="2">
      <c r="A29" s="1787"/>
      <c r="B29" s="471"/>
      <c r="C29" s="471"/>
      <c r="D29" s="61"/>
    </row>
    <row r="30" spans="1:14" s="838" customFormat="1" ht="24.6" hidden="1" customHeight="1" outlineLevel="2">
      <c r="A30" s="1662" t="s">
        <v>2276</v>
      </c>
      <c r="B30" s="471"/>
      <c r="C30" s="471"/>
      <c r="D30" s="61"/>
    </row>
    <row r="31" spans="1:14" s="838" customFormat="1" ht="24.6" hidden="1" customHeight="1" outlineLevel="2">
      <c r="A31" s="2774" t="s">
        <v>760</v>
      </c>
      <c r="B31" s="2774"/>
      <c r="C31" s="840"/>
      <c r="D31" s="910" t="s">
        <v>284</v>
      </c>
      <c r="E31" s="2822" t="s">
        <v>2277</v>
      </c>
      <c r="F31" s="2822"/>
      <c r="G31" s="2822"/>
      <c r="H31" s="2822"/>
      <c r="I31" s="2821" t="s">
        <v>2280</v>
      </c>
      <c r="J31" s="2821"/>
      <c r="K31" s="2822" t="s">
        <v>85</v>
      </c>
      <c r="L31" s="2822"/>
      <c r="M31" s="2816" t="s">
        <v>2288</v>
      </c>
      <c r="N31" s="2816"/>
    </row>
    <row r="32" spans="1:14" s="838" customFormat="1" ht="24.6" hidden="1" customHeight="1" outlineLevel="2">
      <c r="A32" s="2774"/>
      <c r="B32" s="2774"/>
      <c r="C32" s="840"/>
      <c r="D32" s="892" t="s">
        <v>1082</v>
      </c>
      <c r="E32" s="2823" t="s">
        <v>2278</v>
      </c>
      <c r="F32" s="2823"/>
      <c r="G32" s="2823"/>
      <c r="H32" s="1298" t="s">
        <v>2279</v>
      </c>
      <c r="I32" s="2824" t="s">
        <v>2281</v>
      </c>
      <c r="J32" s="2824" t="s">
        <v>2282</v>
      </c>
      <c r="K32" s="2823" t="s">
        <v>2283</v>
      </c>
      <c r="L32" s="2823"/>
      <c r="M32" s="2816"/>
      <c r="N32" s="2816"/>
    </row>
    <row r="33" spans="1:14" s="838" customFormat="1" ht="24.6" hidden="1" customHeight="1" outlineLevel="2">
      <c r="A33" s="2752" t="s">
        <v>761</v>
      </c>
      <c r="B33" s="2752"/>
      <c r="C33" s="868"/>
      <c r="D33" s="871" t="s">
        <v>1068</v>
      </c>
      <c r="E33" s="2504" t="s">
        <v>1399</v>
      </c>
      <c r="F33" s="2504" t="s">
        <v>1400</v>
      </c>
      <c r="G33" s="2504" t="s">
        <v>1401</v>
      </c>
      <c r="H33" s="2504" t="s">
        <v>1401</v>
      </c>
      <c r="I33" s="2824"/>
      <c r="J33" s="2824"/>
      <c r="K33" s="2504" t="s">
        <v>2284</v>
      </c>
      <c r="L33" s="2504" t="s">
        <v>1164</v>
      </c>
      <c r="M33" s="2504" t="s">
        <v>2289</v>
      </c>
      <c r="N33" s="2504" t="s">
        <v>2290</v>
      </c>
    </row>
    <row r="34" spans="1:14" s="838" customFormat="1" ht="24.6" hidden="1" customHeight="1" outlineLevel="2">
      <c r="A34" s="2753" t="s">
        <v>762</v>
      </c>
      <c r="B34" s="2754"/>
      <c r="C34" s="888"/>
      <c r="D34" s="2500"/>
      <c r="E34" s="2505"/>
      <c r="F34" s="2506">
        <f>F35/E35</f>
        <v>1.2115384615384615</v>
      </c>
      <c r="G34" s="2506">
        <f>G35/E35</f>
        <v>1.4038461538461537</v>
      </c>
      <c r="H34" s="2507">
        <f>H35/G35</f>
        <v>1.1369863013698631</v>
      </c>
      <c r="I34" s="2505"/>
      <c r="J34" s="2507">
        <f>J35/I35</f>
        <v>2</v>
      </c>
      <c r="K34" s="2505"/>
      <c r="L34" s="2506">
        <v>2</v>
      </c>
      <c r="M34" s="2505"/>
      <c r="N34" s="2506">
        <v>1.5</v>
      </c>
    </row>
    <row r="35" spans="1:14" s="838" customFormat="1" ht="24.6" hidden="1" customHeight="1" outlineLevel="2">
      <c r="A35" s="1679" t="s">
        <v>666</v>
      </c>
      <c r="B35" s="880" t="s">
        <v>1045</v>
      </c>
      <c r="C35" s="886"/>
      <c r="D35" s="1678">
        <v>13150</v>
      </c>
      <c r="E35" s="1678">
        <v>2600</v>
      </c>
      <c r="F35" s="2501">
        <v>3150</v>
      </c>
      <c r="G35" s="2501">
        <v>3650</v>
      </c>
      <c r="H35" s="2502">
        <v>4150</v>
      </c>
      <c r="I35" s="1678">
        <v>7500</v>
      </c>
      <c r="J35" s="2502">
        <v>15000</v>
      </c>
      <c r="K35" s="589">
        <v>1800</v>
      </c>
      <c r="L35" s="2501">
        <f>K35*L34</f>
        <v>3600</v>
      </c>
      <c r="M35" s="589">
        <f>M36*0.9</f>
        <v>1665</v>
      </c>
      <c r="N35" s="589">
        <f>N36*0.9</f>
        <v>2475</v>
      </c>
    </row>
    <row r="36" spans="1:14" s="838" customFormat="1" ht="24.6" hidden="1" customHeight="1" outlineLevel="2">
      <c r="A36" s="1679"/>
      <c r="B36" s="880" t="s">
        <v>264</v>
      </c>
      <c r="C36" s="1292">
        <v>1.1000000000000001</v>
      </c>
      <c r="D36" s="589">
        <f>D35*C36</f>
        <v>14465.000000000002</v>
      </c>
      <c r="E36" s="589">
        <v>3100</v>
      </c>
      <c r="F36" s="589">
        <v>3650</v>
      </c>
      <c r="G36" s="589">
        <v>4150</v>
      </c>
      <c r="H36" s="2503">
        <v>4650</v>
      </c>
      <c r="I36" s="2503">
        <v>8700</v>
      </c>
      <c r="J36" s="2503">
        <v>17400</v>
      </c>
      <c r="K36" s="589">
        <v>1980.0000000000002</v>
      </c>
      <c r="L36" s="589">
        <f>K36*L34</f>
        <v>3960.0000000000005</v>
      </c>
      <c r="M36" s="589">
        <v>1850</v>
      </c>
      <c r="N36" s="589">
        <v>2750</v>
      </c>
    </row>
    <row r="37" spans="1:14" s="838" customFormat="1" ht="24.6" hidden="1" customHeight="1" outlineLevel="2">
      <c r="A37" s="2693"/>
      <c r="B37" s="880" t="s">
        <v>263</v>
      </c>
      <c r="C37" s="1292">
        <v>1.2</v>
      </c>
      <c r="D37" s="589">
        <f>D35*C37</f>
        <v>15780</v>
      </c>
      <c r="E37" s="589">
        <v>4150</v>
      </c>
      <c r="F37" s="589">
        <v>4700</v>
      </c>
      <c r="G37" s="589">
        <v>5150</v>
      </c>
      <c r="H37" s="2503">
        <v>5650</v>
      </c>
      <c r="I37" s="2503">
        <v>8700</v>
      </c>
      <c r="J37" s="2503">
        <v>17400</v>
      </c>
      <c r="K37" s="589">
        <v>2376</v>
      </c>
      <c r="L37" s="589">
        <f>K37*L34</f>
        <v>4752</v>
      </c>
      <c r="M37" s="589">
        <f>M36*C37</f>
        <v>2220</v>
      </c>
      <c r="N37" s="589">
        <f>N36*C37</f>
        <v>3300</v>
      </c>
    </row>
    <row r="38" spans="1:14" s="838" customFormat="1" ht="24.6" hidden="1" customHeight="1" outlineLevel="2">
      <c r="A38" s="2694"/>
      <c r="B38" s="1303" t="s">
        <v>2197</v>
      </c>
      <c r="C38" s="1292">
        <v>1.45</v>
      </c>
      <c r="D38" s="589">
        <f>D35*C38</f>
        <v>19067.5</v>
      </c>
      <c r="E38" s="589">
        <v>5200</v>
      </c>
      <c r="F38" s="589">
        <v>5750</v>
      </c>
      <c r="G38" s="589">
        <v>6200</v>
      </c>
      <c r="H38" s="2503">
        <v>6700</v>
      </c>
      <c r="I38" s="2503">
        <v>10875</v>
      </c>
      <c r="J38" s="2503">
        <v>21750</v>
      </c>
      <c r="K38" s="589">
        <v>2610</v>
      </c>
      <c r="L38" s="589">
        <f>K38*L34</f>
        <v>5220</v>
      </c>
      <c r="M38" s="589">
        <f>M36*C38</f>
        <v>2682.5</v>
      </c>
      <c r="N38" s="589">
        <f>N36*C38</f>
        <v>3987.5</v>
      </c>
    </row>
    <row r="39" spans="1:14" s="838" customFormat="1" hidden="1" outlineLevel="2">
      <c r="B39" s="880" t="s">
        <v>1489</v>
      </c>
      <c r="C39" s="1292">
        <v>1.2</v>
      </c>
      <c r="D39" s="589">
        <f>CEILING(D38*$C$39, 10)</f>
        <v>22890</v>
      </c>
      <c r="E39" s="589">
        <f t="shared" ref="E39:L39" si="11">CEILING(E38*$C$39, 10)</f>
        <v>6240</v>
      </c>
      <c r="F39" s="589">
        <f t="shared" si="11"/>
        <v>6900</v>
      </c>
      <c r="G39" s="589">
        <f t="shared" si="11"/>
        <v>7440</v>
      </c>
      <c r="H39" s="589">
        <f t="shared" si="11"/>
        <v>8040</v>
      </c>
      <c r="I39" s="589">
        <f t="shared" si="11"/>
        <v>13050</v>
      </c>
      <c r="J39" s="589">
        <f t="shared" si="11"/>
        <v>26100</v>
      </c>
      <c r="K39" s="589">
        <f t="shared" si="11"/>
        <v>3140</v>
      </c>
      <c r="L39" s="589">
        <f t="shared" si="11"/>
        <v>6270</v>
      </c>
      <c r="M39" s="589">
        <f>M38*C39</f>
        <v>3219</v>
      </c>
      <c r="N39" s="589">
        <f>N38*C39</f>
        <v>4785</v>
      </c>
    </row>
    <row r="40" spans="1:14" s="838" customFormat="1" ht="24.6" hidden="1" customHeight="1" outlineLevel="2">
      <c r="A40" s="1787"/>
      <c r="B40" s="1788"/>
      <c r="C40" s="1672"/>
      <c r="D40" s="883"/>
    </row>
    <row r="41" spans="1:14" s="2375" customFormat="1" ht="15" hidden="1" outlineLevel="1">
      <c r="A41" s="2377" t="s">
        <v>2198</v>
      </c>
      <c r="B41" s="2378"/>
    </row>
    <row r="42" spans="1:14" s="853" customFormat="1" ht="12.75" hidden="1" customHeight="1" outlineLevel="2">
      <c r="A42" s="2827" t="s">
        <v>760</v>
      </c>
      <c r="B42" s="2827"/>
      <c r="C42" s="2380"/>
      <c r="D42" s="910" t="s">
        <v>284</v>
      </c>
      <c r="E42" s="2822" t="s">
        <v>2277</v>
      </c>
      <c r="F42" s="2822"/>
      <c r="G42" s="2822"/>
      <c r="H42" s="2822"/>
      <c r="I42" s="2821" t="s">
        <v>2280</v>
      </c>
      <c r="J42" s="2821"/>
      <c r="K42" s="2822" t="s">
        <v>85</v>
      </c>
      <c r="L42" s="2822"/>
      <c r="M42" s="2816" t="s">
        <v>2288</v>
      </c>
      <c r="N42" s="2816"/>
    </row>
    <row r="43" spans="1:14" s="595" customFormat="1" ht="54.75" hidden="1" customHeight="1" outlineLevel="2">
      <c r="A43" s="2508" t="s">
        <v>526</v>
      </c>
      <c r="B43" s="2509"/>
      <c r="C43" s="2381">
        <v>0.39</v>
      </c>
      <c r="D43" s="892" t="s">
        <v>1082</v>
      </c>
      <c r="E43" s="2823" t="s">
        <v>2278</v>
      </c>
      <c r="F43" s="2823"/>
      <c r="G43" s="2823"/>
      <c r="H43" s="1298" t="s">
        <v>2279</v>
      </c>
      <c r="I43" s="2824" t="s">
        <v>2281</v>
      </c>
      <c r="J43" s="2824" t="s">
        <v>2282</v>
      </c>
      <c r="K43" s="2823" t="s">
        <v>2283</v>
      </c>
      <c r="L43" s="2823"/>
      <c r="M43" s="2816"/>
      <c r="N43" s="2816"/>
    </row>
    <row r="44" spans="1:14" s="879" customFormat="1" ht="24" hidden="1" customHeight="1" outlineLevel="2">
      <c r="A44" s="2826" t="s">
        <v>761</v>
      </c>
      <c r="B44" s="2826"/>
      <c r="C44" s="2382"/>
      <c r="D44" s="871" t="s">
        <v>1068</v>
      </c>
      <c r="E44" s="2504" t="s">
        <v>1399</v>
      </c>
      <c r="F44" s="2504" t="s">
        <v>1400</v>
      </c>
      <c r="G44" s="2504" t="s">
        <v>1401</v>
      </c>
      <c r="H44" s="2504" t="s">
        <v>1401</v>
      </c>
      <c r="I44" s="2824"/>
      <c r="J44" s="2824"/>
      <c r="K44" s="2504" t="s">
        <v>2284</v>
      </c>
      <c r="L44" s="2504" t="s">
        <v>1164</v>
      </c>
      <c r="M44" s="2504" t="s">
        <v>2289</v>
      </c>
      <c r="N44" s="2504" t="s">
        <v>2290</v>
      </c>
    </row>
    <row r="45" spans="1:14" s="595" customFormat="1" hidden="1" outlineLevel="2">
      <c r="A45" s="2825" t="s">
        <v>666</v>
      </c>
      <c r="B45" s="2383" t="s">
        <v>1045</v>
      </c>
      <c r="C45" s="2384"/>
      <c r="D45" s="2499">
        <f>D14/D35-1</f>
        <v>5.323193916349811E-2</v>
      </c>
      <c r="E45" s="2499">
        <f t="shared" ref="E45:L45" si="12">E14/E35-1</f>
        <v>5.7692307692307709E-2</v>
      </c>
      <c r="F45" s="2499">
        <f t="shared" si="12"/>
        <v>4.7619047619047672E-2</v>
      </c>
      <c r="G45" s="2499">
        <f t="shared" si="12"/>
        <v>6.8493150684931559E-2</v>
      </c>
      <c r="H45" s="2499">
        <f t="shared" si="12"/>
        <v>8.43373493975903E-2</v>
      </c>
      <c r="I45" s="2499">
        <f t="shared" si="12"/>
        <v>5.3333333333333233E-2</v>
      </c>
      <c r="J45" s="2499">
        <f t="shared" si="12"/>
        <v>5.3333333333333233E-2</v>
      </c>
      <c r="K45" s="2499">
        <f t="shared" si="12"/>
        <v>5.555555555555558E-2</v>
      </c>
      <c r="L45" s="2499">
        <f t="shared" si="12"/>
        <v>5.555555555555558E-2</v>
      </c>
      <c r="M45" s="2499"/>
      <c r="N45" s="2499"/>
    </row>
    <row r="46" spans="1:14" s="595" customFormat="1" hidden="1" outlineLevel="2">
      <c r="A46" s="2825"/>
      <c r="B46" s="2383" t="s">
        <v>264</v>
      </c>
      <c r="C46" s="2384"/>
      <c r="D46" s="2499">
        <f>D15/D36-1</f>
        <v>5.3577601106117978E-2</v>
      </c>
      <c r="E46" s="2499">
        <f t="shared" ref="E46:N46" si="13">E15/E36-1</f>
        <v>-2.2580645161290325E-2</v>
      </c>
      <c r="F46" s="2499">
        <f t="shared" si="13"/>
        <v>-5.479452054794498E-3</v>
      </c>
      <c r="G46" s="2499">
        <f t="shared" si="13"/>
        <v>3.3734939759036076E-2</v>
      </c>
      <c r="H46" s="2499">
        <f t="shared" si="13"/>
        <v>6.4516129032258007E-2</v>
      </c>
      <c r="I46" s="2499">
        <f t="shared" si="13"/>
        <v>-1.1494252873562871E-3</v>
      </c>
      <c r="J46" s="2499">
        <f t="shared" si="13"/>
        <v>-1.1494252873562871E-3</v>
      </c>
      <c r="K46" s="2499">
        <f t="shared" si="13"/>
        <v>5.5555555555555358E-2</v>
      </c>
      <c r="L46" s="2499">
        <f t="shared" si="13"/>
        <v>5.5555555555555358E-2</v>
      </c>
      <c r="M46" s="2499">
        <f t="shared" si="13"/>
        <v>4.3243243243243246E-2</v>
      </c>
      <c r="N46" s="2499">
        <f t="shared" si="13"/>
        <v>6.1818181818181772E-2</v>
      </c>
    </row>
    <row r="47" spans="1:14" s="2376" customFormat="1" ht="15.75" hidden="1" outlineLevel="2">
      <c r="A47" s="2386"/>
      <c r="B47" s="2383" t="s">
        <v>263</v>
      </c>
      <c r="C47" s="2387"/>
      <c r="D47" s="2499">
        <f>D16/D37-1</f>
        <v>5.323193916349811E-2</v>
      </c>
      <c r="E47" s="2499">
        <f t="shared" ref="E47:N47" si="14">E16/E37-1</f>
        <v>-0.20481927710843373</v>
      </c>
      <c r="F47" s="2499">
        <f t="shared" si="14"/>
        <v>-0.1574468085106383</v>
      </c>
      <c r="G47" s="2499">
        <f t="shared" si="14"/>
        <v>-9.1262135922330123E-2</v>
      </c>
      <c r="H47" s="2499">
        <f t="shared" si="14"/>
        <v>-4.4247787610619427E-2</v>
      </c>
      <c r="I47" s="2499">
        <f t="shared" si="14"/>
        <v>8.9655172413793061E-2</v>
      </c>
      <c r="J47" s="2499">
        <f t="shared" si="14"/>
        <v>8.9655172413793061E-2</v>
      </c>
      <c r="K47" s="2499">
        <f t="shared" si="14"/>
        <v>-4.0404040404040442E-2</v>
      </c>
      <c r="L47" s="2499">
        <f t="shared" si="14"/>
        <v>-4.0404040404040442E-2</v>
      </c>
      <c r="M47" s="2499">
        <f t="shared" si="14"/>
        <v>-5.4054054054054057E-2</v>
      </c>
      <c r="N47" s="2499">
        <f t="shared" si="14"/>
        <v>-3.6363636363636376E-2</v>
      </c>
    </row>
    <row r="48" spans="1:14" s="2376" customFormat="1" ht="15.75" hidden="1" customHeight="1" outlineLevel="2">
      <c r="A48" s="2386"/>
      <c r="B48" s="2383" t="s">
        <v>2197</v>
      </c>
      <c r="C48" s="2387"/>
      <c r="D48" s="2499">
        <f>D17/D38-1</f>
        <v>5.3625278615445193E-2</v>
      </c>
      <c r="E48" s="2499">
        <f t="shared" ref="E48:N48" si="15">E17/E38-1</f>
        <v>-0.23269230769230764</v>
      </c>
      <c r="F48" s="2499">
        <f t="shared" si="15"/>
        <v>-0.16695652173913045</v>
      </c>
      <c r="G48" s="2499">
        <f t="shared" si="15"/>
        <v>-8.7096774193548332E-2</v>
      </c>
      <c r="H48" s="2499">
        <f t="shared" si="15"/>
        <v>-2.5373134328358193E-2</v>
      </c>
      <c r="I48" s="2499">
        <f t="shared" si="15"/>
        <v>5.3793103448275925E-2</v>
      </c>
      <c r="J48" s="2499">
        <f t="shared" si="15"/>
        <v>5.3333333333333233E-2</v>
      </c>
      <c r="K48" s="2499">
        <f t="shared" si="15"/>
        <v>5.7471264367816133E-2</v>
      </c>
      <c r="L48" s="2499">
        <f t="shared" si="15"/>
        <v>5.555555555555558E-2</v>
      </c>
      <c r="M48" s="2499">
        <f t="shared" si="15"/>
        <v>-5.3122087604846269E-2</v>
      </c>
      <c r="N48" s="2499">
        <f t="shared" si="15"/>
        <v>-3.4482758620689613E-2</v>
      </c>
    </row>
    <row r="49" spans="1:14" s="838" customFormat="1" ht="24.6" hidden="1" customHeight="1" outlineLevel="2">
      <c r="A49" s="2518"/>
      <c r="B49" s="2519" t="s">
        <v>1489</v>
      </c>
      <c r="C49" s="2411"/>
      <c r="D49" s="2499">
        <f>D18/D39-1</f>
        <v>5.329838357361294E-2</v>
      </c>
      <c r="E49" s="2499">
        <f t="shared" ref="E49:N49" si="16">E18/E39-1</f>
        <v>-0.23237179487179482</v>
      </c>
      <c r="F49" s="2499">
        <f t="shared" si="16"/>
        <v>-0.16666666666666663</v>
      </c>
      <c r="G49" s="2499">
        <f t="shared" si="16"/>
        <v>-8.6021505376344121E-2</v>
      </c>
      <c r="H49" s="2499">
        <f t="shared" si="16"/>
        <v>-2.4875621890547261E-2</v>
      </c>
      <c r="I49" s="2499">
        <f t="shared" si="16"/>
        <v>5.4406130268199293E-2</v>
      </c>
      <c r="J49" s="2499">
        <f t="shared" si="16"/>
        <v>5.3639846743295028E-2</v>
      </c>
      <c r="K49" s="2499">
        <f t="shared" si="16"/>
        <v>5.7324840764331197E-2</v>
      </c>
      <c r="L49" s="2499">
        <f t="shared" si="16"/>
        <v>5.5821371610845327E-2</v>
      </c>
      <c r="M49" s="2499">
        <f t="shared" si="16"/>
        <v>-5.2500776638707669E-2</v>
      </c>
      <c r="N49" s="2499">
        <f t="shared" si="16"/>
        <v>-3.4482758620689613E-2</v>
      </c>
    </row>
    <row r="50" spans="1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51">
    <mergeCell ref="A33:B33"/>
    <mergeCell ref="A34:B34"/>
    <mergeCell ref="A37:A38"/>
    <mergeCell ref="A44:B44"/>
    <mergeCell ref="A45:A46"/>
    <mergeCell ref="A42:B42"/>
    <mergeCell ref="E10:H10"/>
    <mergeCell ref="E31:H31"/>
    <mergeCell ref="E32:G32"/>
    <mergeCell ref="E21:H21"/>
    <mergeCell ref="A32:B32"/>
    <mergeCell ref="A31:B31"/>
    <mergeCell ref="A10:B10"/>
    <mergeCell ref="A11:B11"/>
    <mergeCell ref="A24:A25"/>
    <mergeCell ref="A23:B23"/>
    <mergeCell ref="A22:B22"/>
    <mergeCell ref="A21:B21"/>
    <mergeCell ref="A13:B13"/>
    <mergeCell ref="A16:A17"/>
    <mergeCell ref="A12:B12"/>
    <mergeCell ref="E11:G11"/>
    <mergeCell ref="I43:I44"/>
    <mergeCell ref="J43:J44"/>
    <mergeCell ref="K43:L43"/>
    <mergeCell ref="I10:J10"/>
    <mergeCell ref="K10:L10"/>
    <mergeCell ref="I11:I12"/>
    <mergeCell ref="J11:J12"/>
    <mergeCell ref="K11:L11"/>
    <mergeCell ref="I32:I33"/>
    <mergeCell ref="J32:J33"/>
    <mergeCell ref="I31:J31"/>
    <mergeCell ref="K31:L31"/>
    <mergeCell ref="K32:L32"/>
    <mergeCell ref="M42:N43"/>
    <mergeCell ref="A1:C1"/>
    <mergeCell ref="E1:G1"/>
    <mergeCell ref="M10:N11"/>
    <mergeCell ref="M21:N22"/>
    <mergeCell ref="M31:N32"/>
    <mergeCell ref="I21:J21"/>
    <mergeCell ref="K21:L21"/>
    <mergeCell ref="E22:G22"/>
    <mergeCell ref="I22:I23"/>
    <mergeCell ref="J22:J23"/>
    <mergeCell ref="K22:L22"/>
    <mergeCell ref="E42:H42"/>
    <mergeCell ref="I42:J42"/>
    <mergeCell ref="K42:L42"/>
    <mergeCell ref="E43:G43"/>
  </mergeCells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1" orientation="landscape" useFirstPageNumber="1" r:id="rId1"/>
  <headerFooter>
    <oddHeader>&amp;L&amp;G&amp;R&amp;14ПРАЙС-ЛИСТ от 10.12.2020 &amp;11розничная цена в рублях РФ (без НДС)</oddHeader>
    <oddFooter>&amp;L&amp;P&amp;R&amp;24ПОГОНАЖ</oddFooter>
  </headerFooter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B1:W47"/>
  <sheetViews>
    <sheetView topLeftCell="A38" workbookViewId="0">
      <selection activeCell="F51" sqref="F51"/>
    </sheetView>
  </sheetViews>
  <sheetFormatPr defaultColWidth="8.85546875" defaultRowHeight="15" outlineLevelRow="1"/>
  <cols>
    <col min="1" max="1" width="3.7109375" style="471" customWidth="1"/>
    <col min="2" max="2" width="11.7109375" style="471" customWidth="1"/>
    <col min="3" max="3" width="24.28515625" style="471" bestFit="1" customWidth="1"/>
    <col min="4" max="4" width="5.42578125" style="471" bestFit="1" customWidth="1"/>
    <col min="5" max="6" width="12.28515625" style="471" customWidth="1"/>
    <col min="7" max="11" width="12.7109375" style="77" customWidth="1"/>
    <col min="12" max="18" width="12.7109375" style="471" customWidth="1"/>
    <col min="19" max="16384" width="8.85546875" style="471"/>
  </cols>
  <sheetData>
    <row r="1" spans="2:20" hidden="1" outlineLevel="1"/>
    <row r="2" spans="2:20" hidden="1" outlineLevel="1">
      <c r="G2" s="2489"/>
      <c r="H2" s="2490" t="s">
        <v>893</v>
      </c>
      <c r="I2" s="2491">
        <f>Standart!H7</f>
        <v>25750</v>
      </c>
      <c r="J2" s="2492" t="s">
        <v>2242</v>
      </c>
      <c r="K2" s="2493"/>
    </row>
    <row r="3" spans="2:20" hidden="1" outlineLevel="1">
      <c r="G3" s="2494" t="s">
        <v>2243</v>
      </c>
      <c r="H3" s="2495">
        <f>2*0.8</f>
        <v>1.6</v>
      </c>
      <c r="I3" s="2496">
        <f>I2/H3</f>
        <v>16093.75</v>
      </c>
      <c r="J3" s="2495" t="s">
        <v>2244</v>
      </c>
      <c r="K3" s="2497"/>
    </row>
    <row r="4" spans="2:20" hidden="1" outlineLevel="1">
      <c r="E4" s="2846" t="s">
        <v>2271</v>
      </c>
      <c r="F4" s="2846"/>
      <c r="G4" s="2846"/>
    </row>
    <row r="5" spans="2:20" ht="15.75" hidden="1" outlineLevel="1" thickBot="1">
      <c r="B5" s="65">
        <v>1.05</v>
      </c>
      <c r="C5" s="471" t="s">
        <v>2196</v>
      </c>
      <c r="E5" s="2487">
        <v>29000</v>
      </c>
      <c r="F5" s="2487"/>
      <c r="G5" s="2488">
        <v>16750</v>
      </c>
      <c r="H5" s="10"/>
      <c r="I5" s="471"/>
      <c r="J5" s="471"/>
      <c r="K5" s="471"/>
      <c r="L5" s="2366"/>
      <c r="M5" s="2427"/>
      <c r="N5" s="2427"/>
      <c r="O5" s="2428"/>
      <c r="P5" s="2427"/>
      <c r="Q5" s="2427"/>
      <c r="R5" s="2428"/>
    </row>
    <row r="6" spans="2:20" ht="15.75" hidden="1" outlineLevel="1" thickBot="1">
      <c r="B6" s="2831" t="s">
        <v>1746</v>
      </c>
      <c r="C6" s="2831"/>
      <c r="D6" s="2832"/>
      <c r="E6" s="2843" t="s">
        <v>28</v>
      </c>
      <c r="F6" s="2844"/>
      <c r="G6" s="2844"/>
      <c r="H6" s="2845"/>
      <c r="I6" s="2835" t="s">
        <v>524</v>
      </c>
      <c r="J6" s="2836"/>
      <c r="K6" s="2837"/>
      <c r="L6" s="2838" t="s">
        <v>2211</v>
      </c>
      <c r="M6" s="2839"/>
      <c r="N6" s="2839"/>
      <c r="O6" s="2839"/>
      <c r="P6" s="2839"/>
      <c r="Q6" s="2839"/>
      <c r="R6" s="2840"/>
    </row>
    <row r="7" spans="2:20" hidden="1" outlineLevel="1">
      <c r="B7" s="2831"/>
      <c r="C7" s="2831"/>
      <c r="D7" s="2833"/>
      <c r="E7" s="2851" t="s">
        <v>146</v>
      </c>
      <c r="F7" s="2852"/>
      <c r="G7" s="2841" t="s">
        <v>2212</v>
      </c>
      <c r="H7" s="2841"/>
      <c r="I7" s="2841"/>
      <c r="J7" s="2841"/>
      <c r="K7" s="2841"/>
      <c r="L7" s="2841" t="s">
        <v>1764</v>
      </c>
      <c r="M7" s="2841"/>
      <c r="N7" s="2429"/>
      <c r="O7" s="2842" t="s">
        <v>2213</v>
      </c>
      <c r="P7" s="2842"/>
      <c r="Q7" s="2430"/>
      <c r="R7" s="2430" t="s">
        <v>670</v>
      </c>
    </row>
    <row r="8" spans="2:20" s="14" customFormat="1" ht="36" hidden="1" outlineLevel="1">
      <c r="B8" s="2831"/>
      <c r="C8" s="2831"/>
      <c r="D8" s="2833"/>
      <c r="E8" s="2848" t="s">
        <v>207</v>
      </c>
      <c r="F8" s="2849"/>
      <c r="G8" s="2849"/>
      <c r="H8" s="2850"/>
      <c r="I8" s="2828" t="s">
        <v>1745</v>
      </c>
      <c r="J8" s="2828" t="s">
        <v>1282</v>
      </c>
      <c r="K8" s="2828" t="s">
        <v>1322</v>
      </c>
      <c r="L8" s="2431" t="s">
        <v>2214</v>
      </c>
      <c r="M8" s="2829" t="s">
        <v>2215</v>
      </c>
      <c r="N8" s="2829"/>
      <c r="O8" s="2431" t="s">
        <v>2214</v>
      </c>
      <c r="P8" s="2829" t="s">
        <v>2215</v>
      </c>
      <c r="Q8" s="2829"/>
      <c r="R8" s="2431" t="s">
        <v>2214</v>
      </c>
    </row>
    <row r="9" spans="2:20" s="14" customFormat="1" ht="24" hidden="1" outlineLevel="1">
      <c r="B9" s="2831"/>
      <c r="C9" s="2831"/>
      <c r="D9" s="2834"/>
      <c r="E9" s="2455" t="s">
        <v>2234</v>
      </c>
      <c r="F9" s="2432" t="s">
        <v>2217</v>
      </c>
      <c r="G9" s="2455" t="s">
        <v>2234</v>
      </c>
      <c r="H9" s="2432" t="s">
        <v>2217</v>
      </c>
      <c r="I9" s="2828"/>
      <c r="J9" s="2828"/>
      <c r="K9" s="2828"/>
      <c r="L9" s="2432" t="s">
        <v>157</v>
      </c>
      <c r="M9" s="2432" t="s">
        <v>2216</v>
      </c>
      <c r="N9" s="2432" t="s">
        <v>2217</v>
      </c>
      <c r="O9" s="2432" t="s">
        <v>157</v>
      </c>
      <c r="P9" s="2432" t="s">
        <v>2216</v>
      </c>
      <c r="Q9" s="2432" t="s">
        <v>2217</v>
      </c>
      <c r="R9" s="2432" t="s">
        <v>157</v>
      </c>
    </row>
    <row r="10" spans="2:20" s="14" customFormat="1" hidden="1" outlineLevel="1">
      <c r="B10" s="2434"/>
      <c r="C10" s="2434"/>
      <c r="D10" s="2441"/>
      <c r="E10" s="2446" t="s">
        <v>736</v>
      </c>
      <c r="F10" s="2454">
        <v>0.1</v>
      </c>
      <c r="G10" s="2446" t="s">
        <v>736</v>
      </c>
      <c r="H10" s="2454">
        <v>0.1</v>
      </c>
      <c r="I10" s="2438">
        <v>0.05</v>
      </c>
      <c r="J10" s="2438">
        <v>0.1</v>
      </c>
      <c r="K10" s="2438">
        <v>0.15</v>
      </c>
      <c r="L10" s="2438">
        <v>0.1</v>
      </c>
      <c r="M10" s="2438">
        <v>0.1</v>
      </c>
      <c r="N10" s="2438">
        <v>0.15</v>
      </c>
      <c r="O10" s="2438">
        <v>0.22</v>
      </c>
      <c r="P10" s="2438">
        <v>0.1</v>
      </c>
      <c r="Q10" s="2438">
        <v>0.15</v>
      </c>
      <c r="R10" s="2438">
        <v>1.1000000000000001</v>
      </c>
    </row>
    <row r="11" spans="2:20" ht="15.75" hidden="1" outlineLevel="1">
      <c r="B11" s="2830" t="s">
        <v>2218</v>
      </c>
      <c r="C11" s="2433" t="s">
        <v>2219</v>
      </c>
      <c r="D11" s="2434" t="s">
        <v>736</v>
      </c>
      <c r="E11" s="2442">
        <f>CEILING(E5*B5, 10)</f>
        <v>30450</v>
      </c>
      <c r="F11" s="2439">
        <f>CEILING($E$11*(1+F10), 10)</f>
        <v>33500</v>
      </c>
      <c r="G11" s="2443"/>
      <c r="H11" s="2443"/>
      <c r="I11" s="2443"/>
      <c r="J11" s="2443"/>
      <c r="K11" s="2443"/>
      <c r="L11" s="2443"/>
      <c r="M11" s="2443"/>
      <c r="N11" s="2443"/>
      <c r="O11" s="2443"/>
      <c r="P11" s="2443"/>
      <c r="Q11" s="2443"/>
      <c r="R11" s="2443"/>
    </row>
    <row r="12" spans="2:20" ht="15.75" hidden="1" outlineLevel="1">
      <c r="B12" s="2830"/>
      <c r="C12" s="2433" t="s">
        <v>2220</v>
      </c>
      <c r="D12" s="2447">
        <v>0.05</v>
      </c>
      <c r="E12" s="2435">
        <f>CEILING($E$11*(1+D12), 10)</f>
        <v>31980</v>
      </c>
      <c r="F12" s="2435">
        <f>CEILING($F$11*(1+D12), 10)</f>
        <v>35180</v>
      </c>
      <c r="G12" s="2444"/>
      <c r="H12" s="2444"/>
      <c r="I12" s="2444"/>
      <c r="J12" s="2444"/>
      <c r="K12" s="2444"/>
      <c r="L12" s="2444"/>
      <c r="M12" s="2444"/>
      <c r="N12" s="2444"/>
      <c r="O12" s="2444"/>
      <c r="P12" s="2444"/>
      <c r="Q12" s="2444"/>
      <c r="R12" s="2444"/>
    </row>
    <row r="13" spans="2:20" ht="15.75" hidden="1" outlineLevel="1">
      <c r="B13" s="2830"/>
      <c r="C13" s="2433" t="s">
        <v>2221</v>
      </c>
      <c r="D13" s="2447">
        <v>0.05</v>
      </c>
      <c r="E13" s="2439">
        <f>CEILING($E$11*(1+D13), 10)</f>
        <v>31980</v>
      </c>
      <c r="F13" s="2439">
        <f>CEILING($F$11*(1+D13), 10)</f>
        <v>35180</v>
      </c>
      <c r="G13" s="2443"/>
      <c r="H13" s="2443"/>
      <c r="I13" s="2443"/>
      <c r="J13" s="2443"/>
      <c r="K13" s="2443"/>
      <c r="L13" s="2443"/>
      <c r="M13" s="2443"/>
      <c r="N13" s="2443"/>
      <c r="O13" s="2443"/>
      <c r="P13" s="2443"/>
      <c r="Q13" s="2443"/>
      <c r="R13" s="2443"/>
    </row>
    <row r="14" spans="2:20" ht="15.75" hidden="1" outlineLevel="1">
      <c r="B14" s="2830" t="s">
        <v>2222</v>
      </c>
      <c r="C14" s="2433" t="s">
        <v>2219</v>
      </c>
      <c r="D14" s="2447">
        <v>0.2</v>
      </c>
      <c r="E14" s="2435">
        <f>CEILING($E$11*(1+D14), 10)</f>
        <v>36540</v>
      </c>
      <c r="F14" s="2435">
        <f>CEILING($F$11*(1+D14), 10)</f>
        <v>40200</v>
      </c>
      <c r="G14" s="2444"/>
      <c r="H14" s="2444"/>
      <c r="I14" s="2444"/>
      <c r="J14" s="2444"/>
      <c r="K14" s="2444"/>
      <c r="L14" s="2444"/>
      <c r="M14" s="2444"/>
      <c r="N14" s="2444"/>
      <c r="O14" s="2444"/>
      <c r="P14" s="2444"/>
      <c r="Q14" s="2444"/>
      <c r="R14" s="2444"/>
    </row>
    <row r="15" spans="2:20" ht="15.75" hidden="1" outlineLevel="1">
      <c r="B15" s="2830"/>
      <c r="C15" s="2433" t="s">
        <v>2220</v>
      </c>
      <c r="D15" s="2447">
        <v>0.2</v>
      </c>
      <c r="E15" s="2439">
        <f>CEILING($E$12*(1+D15), 10)</f>
        <v>38380</v>
      </c>
      <c r="F15" s="2439">
        <f>CEILING($F$12*(1+D15), 10)</f>
        <v>42220</v>
      </c>
      <c r="G15" s="2443"/>
      <c r="H15" s="2443"/>
      <c r="I15" s="2443"/>
      <c r="J15" s="2443"/>
      <c r="K15" s="2443"/>
      <c r="L15" s="2443"/>
      <c r="M15" s="2443"/>
      <c r="N15" s="2443"/>
      <c r="O15" s="2443"/>
      <c r="P15" s="2443"/>
      <c r="Q15" s="2443"/>
      <c r="R15" s="2443"/>
      <c r="T15" s="471">
        <f>L19/O19</f>
        <v>1.1001863932898415</v>
      </c>
    </row>
    <row r="16" spans="2:20" ht="15.75" hidden="1" outlineLevel="1">
      <c r="B16" s="2830"/>
      <c r="C16" s="2433" t="s">
        <v>2221</v>
      </c>
      <c r="D16" s="2447">
        <v>0.2</v>
      </c>
      <c r="E16" s="2435">
        <f>CEILING($E$13*(1+D16), 10)</f>
        <v>38380</v>
      </c>
      <c r="F16" s="2435">
        <f>CEILING($F$13*(1+D16), 10)</f>
        <v>42220</v>
      </c>
      <c r="G16" s="2444"/>
      <c r="H16" s="2444"/>
      <c r="I16" s="2444"/>
      <c r="J16" s="2444"/>
      <c r="K16" s="2444"/>
      <c r="L16" s="2444"/>
      <c r="M16" s="2444"/>
      <c r="N16" s="2444"/>
      <c r="O16" s="2444"/>
      <c r="P16" s="2444"/>
      <c r="Q16" s="2444"/>
      <c r="R16" s="2444"/>
    </row>
    <row r="17" spans="2:18" ht="15.75" hidden="1" outlineLevel="1">
      <c r="B17" s="2830" t="s">
        <v>2223</v>
      </c>
      <c r="C17" s="2433" t="s">
        <v>2224</v>
      </c>
      <c r="D17" s="2447">
        <v>0.3</v>
      </c>
      <c r="E17" s="2439">
        <f>CEILING($E$11*(1+D17), 10)</f>
        <v>39590</v>
      </c>
      <c r="F17" s="2439">
        <f>CEILING($F$11*(1+D17), 10)</f>
        <v>43550</v>
      </c>
      <c r="G17" s="2443"/>
      <c r="H17" s="2443"/>
      <c r="I17" s="2443"/>
      <c r="J17" s="2443"/>
      <c r="K17" s="2443"/>
      <c r="L17" s="2443"/>
      <c r="M17" s="2443"/>
      <c r="N17" s="2443"/>
      <c r="O17" s="2443"/>
      <c r="P17" s="2443"/>
      <c r="Q17" s="2443"/>
      <c r="R17" s="2443"/>
    </row>
    <row r="18" spans="2:18" ht="15.75" hidden="1" outlineLevel="1">
      <c r="B18" s="2830"/>
      <c r="C18" s="2433" t="s">
        <v>2225</v>
      </c>
      <c r="D18" s="2447">
        <v>0.3</v>
      </c>
      <c r="E18" s="2435">
        <f>CEILING($E$11*(1+D18), 10)</f>
        <v>39590</v>
      </c>
      <c r="F18" s="2435">
        <f>CEILING($F$11*(1+D18), 10)</f>
        <v>43550</v>
      </c>
      <c r="G18" s="2444"/>
      <c r="H18" s="2444"/>
      <c r="I18" s="2444"/>
      <c r="J18" s="2444"/>
      <c r="K18" s="2444"/>
      <c r="L18" s="2444"/>
      <c r="M18" s="2445"/>
      <c r="N18" s="2444"/>
      <c r="O18" s="2444"/>
      <c r="P18" s="2444"/>
      <c r="Q18" s="2444"/>
      <c r="R18" s="2444"/>
    </row>
    <row r="19" spans="2:18" ht="24" hidden="1" outlineLevel="1">
      <c r="B19" s="2847" t="s">
        <v>2226</v>
      </c>
      <c r="C19" s="2436" t="s">
        <v>2227</v>
      </c>
      <c r="D19" s="1284" t="s">
        <v>736</v>
      </c>
      <c r="E19" s="2443"/>
      <c r="F19" s="2443"/>
      <c r="G19" s="2442">
        <f>CEILING(G5*B5, 10)</f>
        <v>17590</v>
      </c>
      <c r="H19" s="2439">
        <f>CEILING(G19*(1+$H$10), 10)</f>
        <v>19350</v>
      </c>
      <c r="I19" s="2439">
        <f>CEILING(G19*(1+$I$10), 10)</f>
        <v>18470</v>
      </c>
      <c r="J19" s="2439">
        <f>CEILING(G19*(1+$J$10), 10)</f>
        <v>19350</v>
      </c>
      <c r="K19" s="2439">
        <f>CEILING(G19*(1+$K$10), 10)</f>
        <v>20230</v>
      </c>
      <c r="L19" s="2439">
        <f>CEILING(O19*(1+L10), 10)</f>
        <v>23610</v>
      </c>
      <c r="M19" s="2439">
        <f>CEILING(L19*(1+M10), 10)</f>
        <v>25980</v>
      </c>
      <c r="N19" s="2439">
        <f>CEILING(L19*(1+N10), 10)</f>
        <v>27160</v>
      </c>
      <c r="O19" s="2439">
        <f>CEILING(G19*(1+O10), 10)</f>
        <v>21460</v>
      </c>
      <c r="P19" s="2439">
        <f>CEILING(O19*(1+P10), 10)</f>
        <v>23610</v>
      </c>
      <c r="Q19" s="2439">
        <f>CEILING(O19*(1+Q10), 10)</f>
        <v>24680</v>
      </c>
      <c r="R19" s="2439">
        <f>CEILING(G19*(1+R10), 10)</f>
        <v>36940</v>
      </c>
    </row>
    <row r="20" spans="2:18" ht="24" hidden="1" outlineLevel="1">
      <c r="B20" s="2847"/>
      <c r="C20" s="2437" t="s">
        <v>2209</v>
      </c>
      <c r="D20" s="2438">
        <v>0.05</v>
      </c>
      <c r="E20" s="2444"/>
      <c r="F20" s="2444"/>
      <c r="G20" s="2435">
        <f>CEILING($G$19*(1+D20), 10)</f>
        <v>18470</v>
      </c>
      <c r="H20" s="2435">
        <f>CEILING($H$19*(1+D20), 10)</f>
        <v>20320</v>
      </c>
      <c r="I20" s="2435">
        <f>CEILING($I$19*(1+D20), 10)</f>
        <v>19400</v>
      </c>
      <c r="J20" s="2435">
        <f>CEILING($J$19*(1+D20), 10)</f>
        <v>20320</v>
      </c>
      <c r="K20" s="2435">
        <f>CEILING($K$19*(1+D20), 10)</f>
        <v>21250</v>
      </c>
      <c r="L20" s="2435">
        <f>CEILING($L$19*(1+D20), 10)</f>
        <v>24800</v>
      </c>
      <c r="M20" s="2435">
        <f>CEILING($M$19*(1+D20), 10)</f>
        <v>27280</v>
      </c>
      <c r="N20" s="2435">
        <f>CEILING($N$19*(1+D20), 10)</f>
        <v>28520</v>
      </c>
      <c r="O20" s="2435">
        <f>CEILING($O$19*(1+D20), 10)</f>
        <v>22540</v>
      </c>
      <c r="P20" s="2435">
        <f>CEILING($P$19*(1+D20), 10)</f>
        <v>24800</v>
      </c>
      <c r="Q20" s="2435">
        <f>CEILING($Q$19*(1+D20), 10)</f>
        <v>25920</v>
      </c>
      <c r="R20" s="2435">
        <f t="shared" ref="R20:R25" si="0">CEILING($R$19*(1+D20), 10)</f>
        <v>38790</v>
      </c>
    </row>
    <row r="21" spans="2:18" ht="24" hidden="1" outlineLevel="1">
      <c r="B21" s="2847"/>
      <c r="C21" s="2436" t="s">
        <v>2228</v>
      </c>
      <c r="D21" s="2438">
        <v>0.1</v>
      </c>
      <c r="E21" s="2444"/>
      <c r="F21" s="2444"/>
      <c r="G21" s="2439">
        <f t="shared" ref="G21:G28" si="1">CEILING($G$19*(1+D21), 10)</f>
        <v>19350</v>
      </c>
      <c r="H21" s="2439">
        <f t="shared" ref="H21:H28" si="2">CEILING($H$19*(1+D21), 10)</f>
        <v>21290</v>
      </c>
      <c r="I21" s="2439">
        <f t="shared" ref="I21:I28" si="3">CEILING($I$19*(1+D21), 10)</f>
        <v>20320</v>
      </c>
      <c r="J21" s="2439">
        <f t="shared" ref="J21:J28" si="4">CEILING($J$19*(1+D21), 10)</f>
        <v>21290</v>
      </c>
      <c r="K21" s="2439">
        <f t="shared" ref="K21:K28" si="5">CEILING($K$19*(1+D21), 10)</f>
        <v>22260</v>
      </c>
      <c r="L21" s="2439">
        <f t="shared" ref="L21:L28" si="6">CEILING($L$19*(1+D21), 10)</f>
        <v>25980</v>
      </c>
      <c r="M21" s="2439">
        <f t="shared" ref="M21:M28" si="7">CEILING($M$19*(1+D21), 10)</f>
        <v>28580</v>
      </c>
      <c r="N21" s="2439">
        <f t="shared" ref="N21:N27" si="8">CEILING($N$19*(1+D21), 10)</f>
        <v>29880</v>
      </c>
      <c r="O21" s="2439">
        <f t="shared" ref="O21:O28" si="9">CEILING($O$19*(1+D21), 10)</f>
        <v>23610</v>
      </c>
      <c r="P21" s="2439">
        <f t="shared" ref="P21:P28" si="10">CEILING($P$19*(1+D21), 10)</f>
        <v>25980</v>
      </c>
      <c r="Q21" s="2439">
        <f t="shared" ref="Q21:Q28" si="11">CEILING($Q$19*(1+D21), 10)</f>
        <v>27150</v>
      </c>
      <c r="R21" s="2439">
        <f t="shared" si="0"/>
        <v>40640</v>
      </c>
    </row>
    <row r="22" spans="2:18" ht="24" hidden="1" outlineLevel="1">
      <c r="B22" s="2847"/>
      <c r="C22" s="2437" t="s">
        <v>2132</v>
      </c>
      <c r="D22" s="2438">
        <v>0.2</v>
      </c>
      <c r="E22" s="2444"/>
      <c r="F22" s="2444"/>
      <c r="G22" s="2435">
        <f t="shared" si="1"/>
        <v>21110</v>
      </c>
      <c r="H22" s="2435">
        <f t="shared" si="2"/>
        <v>23220</v>
      </c>
      <c r="I22" s="2435">
        <f t="shared" si="3"/>
        <v>22170</v>
      </c>
      <c r="J22" s="2435">
        <f t="shared" si="4"/>
        <v>23220</v>
      </c>
      <c r="K22" s="2435">
        <f t="shared" si="5"/>
        <v>24280</v>
      </c>
      <c r="L22" s="2435">
        <f t="shared" si="6"/>
        <v>28340</v>
      </c>
      <c r="M22" s="2435">
        <f t="shared" si="7"/>
        <v>31180</v>
      </c>
      <c r="N22" s="2435">
        <f t="shared" si="8"/>
        <v>32600</v>
      </c>
      <c r="O22" s="2435">
        <f t="shared" si="9"/>
        <v>25760</v>
      </c>
      <c r="P22" s="2435">
        <f t="shared" si="10"/>
        <v>28340</v>
      </c>
      <c r="Q22" s="2435">
        <f t="shared" si="11"/>
        <v>29620</v>
      </c>
      <c r="R22" s="2435">
        <f t="shared" si="0"/>
        <v>44330</v>
      </c>
    </row>
    <row r="23" spans="2:18" ht="24" hidden="1" outlineLevel="1">
      <c r="B23" s="2847"/>
      <c r="C23" s="2436" t="s">
        <v>2133</v>
      </c>
      <c r="D23" s="2438">
        <v>0.3</v>
      </c>
      <c r="E23" s="2444"/>
      <c r="F23" s="2444"/>
      <c r="G23" s="2439">
        <f t="shared" si="1"/>
        <v>22870</v>
      </c>
      <c r="H23" s="2439">
        <f t="shared" si="2"/>
        <v>25160</v>
      </c>
      <c r="I23" s="2439">
        <f t="shared" si="3"/>
        <v>24020</v>
      </c>
      <c r="J23" s="2439">
        <f t="shared" si="4"/>
        <v>25160</v>
      </c>
      <c r="K23" s="2439">
        <f t="shared" si="5"/>
        <v>26300</v>
      </c>
      <c r="L23" s="2439">
        <f t="shared" si="6"/>
        <v>30700</v>
      </c>
      <c r="M23" s="2439">
        <f t="shared" si="7"/>
        <v>33780</v>
      </c>
      <c r="N23" s="2439">
        <f t="shared" si="8"/>
        <v>35310</v>
      </c>
      <c r="O23" s="2439">
        <f t="shared" si="9"/>
        <v>27900</v>
      </c>
      <c r="P23" s="2439">
        <f t="shared" si="10"/>
        <v>30700</v>
      </c>
      <c r="Q23" s="2439">
        <f t="shared" si="11"/>
        <v>32090</v>
      </c>
      <c r="R23" s="2439">
        <f t="shared" si="0"/>
        <v>48030</v>
      </c>
    </row>
    <row r="24" spans="2:18" ht="24" hidden="1" outlineLevel="1">
      <c r="B24" s="2847"/>
      <c r="C24" s="2437" t="s">
        <v>2229</v>
      </c>
      <c r="D24" s="2438">
        <v>0.45</v>
      </c>
      <c r="E24" s="2444"/>
      <c r="F24" s="2444"/>
      <c r="G24" s="2435">
        <f t="shared" si="1"/>
        <v>25510</v>
      </c>
      <c r="H24" s="2435">
        <f t="shared" si="2"/>
        <v>28060</v>
      </c>
      <c r="I24" s="2435">
        <f t="shared" si="3"/>
        <v>26790</v>
      </c>
      <c r="J24" s="2435">
        <f t="shared" si="4"/>
        <v>28060</v>
      </c>
      <c r="K24" s="2435">
        <f t="shared" si="5"/>
        <v>29340</v>
      </c>
      <c r="L24" s="2435">
        <f t="shared" si="6"/>
        <v>34240</v>
      </c>
      <c r="M24" s="2435">
        <f t="shared" si="7"/>
        <v>37680</v>
      </c>
      <c r="N24" s="2435">
        <f t="shared" si="8"/>
        <v>39390</v>
      </c>
      <c r="O24" s="2435">
        <f t="shared" si="9"/>
        <v>31120</v>
      </c>
      <c r="P24" s="2435">
        <f t="shared" si="10"/>
        <v>34240</v>
      </c>
      <c r="Q24" s="2435">
        <f t="shared" si="11"/>
        <v>35790</v>
      </c>
      <c r="R24" s="2435">
        <f t="shared" si="0"/>
        <v>53570</v>
      </c>
    </row>
    <row r="25" spans="2:18" ht="24" hidden="1" customHeight="1" outlineLevel="1">
      <c r="B25" s="2847"/>
      <c r="C25" s="2436" t="s">
        <v>2141</v>
      </c>
      <c r="D25" s="2440">
        <v>0.55000000000000004</v>
      </c>
      <c r="E25" s="2444"/>
      <c r="F25" s="2444"/>
      <c r="G25" s="2439">
        <f t="shared" si="1"/>
        <v>27270</v>
      </c>
      <c r="H25" s="2439">
        <f t="shared" si="2"/>
        <v>30000</v>
      </c>
      <c r="I25" s="2439">
        <f t="shared" si="3"/>
        <v>28630</v>
      </c>
      <c r="J25" s="2439">
        <f t="shared" si="4"/>
        <v>30000</v>
      </c>
      <c r="K25" s="2439">
        <f t="shared" si="5"/>
        <v>31360</v>
      </c>
      <c r="L25" s="2439">
        <f t="shared" si="6"/>
        <v>36600</v>
      </c>
      <c r="M25" s="2439">
        <f t="shared" si="7"/>
        <v>40270</v>
      </c>
      <c r="N25" s="2439">
        <f t="shared" si="8"/>
        <v>42100</v>
      </c>
      <c r="O25" s="2439">
        <f t="shared" si="9"/>
        <v>33270</v>
      </c>
      <c r="P25" s="2439">
        <f t="shared" si="10"/>
        <v>36600</v>
      </c>
      <c r="Q25" s="2439">
        <f t="shared" si="11"/>
        <v>38260</v>
      </c>
      <c r="R25" s="2439">
        <f t="shared" si="0"/>
        <v>57260</v>
      </c>
    </row>
    <row r="26" spans="2:18" ht="24" hidden="1" customHeight="1" outlineLevel="1">
      <c r="B26" s="2847" t="s">
        <v>2230</v>
      </c>
      <c r="C26" s="2437" t="s">
        <v>2142</v>
      </c>
      <c r="D26" s="2438">
        <v>1</v>
      </c>
      <c r="E26" s="2444"/>
      <c r="F26" s="2444"/>
      <c r="G26" s="2435">
        <f t="shared" si="1"/>
        <v>35180</v>
      </c>
      <c r="H26" s="2435">
        <f t="shared" si="2"/>
        <v>38700</v>
      </c>
      <c r="I26" s="2435">
        <f t="shared" si="3"/>
        <v>36940</v>
      </c>
      <c r="J26" s="2435">
        <f t="shared" si="4"/>
        <v>38700</v>
      </c>
      <c r="K26" s="2435">
        <f t="shared" si="5"/>
        <v>40460</v>
      </c>
      <c r="L26" s="2435">
        <f t="shared" si="6"/>
        <v>47220</v>
      </c>
      <c r="M26" s="2435">
        <f t="shared" si="7"/>
        <v>51960</v>
      </c>
      <c r="N26" s="2435">
        <f t="shared" si="8"/>
        <v>54320</v>
      </c>
      <c r="O26" s="2435">
        <f t="shared" si="9"/>
        <v>42920</v>
      </c>
      <c r="P26" s="2435">
        <f t="shared" si="10"/>
        <v>47220</v>
      </c>
      <c r="Q26" s="2435">
        <f t="shared" si="11"/>
        <v>49360</v>
      </c>
      <c r="R26" s="2435"/>
    </row>
    <row r="27" spans="2:18" ht="24" hidden="1" outlineLevel="1">
      <c r="B27" s="2847"/>
      <c r="C27" s="2436" t="s">
        <v>2143</v>
      </c>
      <c r="D27" s="2440">
        <v>1</v>
      </c>
      <c r="E27" s="2444"/>
      <c r="F27" s="2444"/>
      <c r="G27" s="2439">
        <f t="shared" si="1"/>
        <v>35180</v>
      </c>
      <c r="H27" s="2439">
        <f t="shared" si="2"/>
        <v>38700</v>
      </c>
      <c r="I27" s="2439">
        <f t="shared" si="3"/>
        <v>36940</v>
      </c>
      <c r="J27" s="2439">
        <f t="shared" si="4"/>
        <v>38700</v>
      </c>
      <c r="K27" s="2439">
        <f t="shared" si="5"/>
        <v>40460</v>
      </c>
      <c r="L27" s="2439">
        <f t="shared" si="6"/>
        <v>47220</v>
      </c>
      <c r="M27" s="2439">
        <f t="shared" si="7"/>
        <v>51960</v>
      </c>
      <c r="N27" s="2439">
        <f t="shared" si="8"/>
        <v>54320</v>
      </c>
      <c r="O27" s="2439">
        <f t="shared" si="9"/>
        <v>42920</v>
      </c>
      <c r="P27" s="2439">
        <f t="shared" si="10"/>
        <v>47220</v>
      </c>
      <c r="Q27" s="2439">
        <f t="shared" si="11"/>
        <v>49360</v>
      </c>
      <c r="R27" s="2439"/>
    </row>
    <row r="28" spans="2:18" ht="15.75" hidden="1" outlineLevel="1">
      <c r="B28" s="2847"/>
      <c r="C28" s="2437" t="s">
        <v>2144</v>
      </c>
      <c r="D28" s="2438">
        <v>1</v>
      </c>
      <c r="E28" s="2444"/>
      <c r="F28" s="2444"/>
      <c r="G28" s="2435">
        <f t="shared" si="1"/>
        <v>35180</v>
      </c>
      <c r="H28" s="2435">
        <f t="shared" si="2"/>
        <v>38700</v>
      </c>
      <c r="I28" s="2435">
        <f t="shared" si="3"/>
        <v>36940</v>
      </c>
      <c r="J28" s="2435">
        <f t="shared" si="4"/>
        <v>38700</v>
      </c>
      <c r="K28" s="2435">
        <f t="shared" si="5"/>
        <v>40460</v>
      </c>
      <c r="L28" s="2435">
        <f t="shared" si="6"/>
        <v>47220</v>
      </c>
      <c r="M28" s="2435">
        <f t="shared" si="7"/>
        <v>51960</v>
      </c>
      <c r="N28" s="2435">
        <f>CEILING($N$19*(1+D28), 10)</f>
        <v>54320</v>
      </c>
      <c r="O28" s="2435">
        <f t="shared" si="9"/>
        <v>42920</v>
      </c>
      <c r="P28" s="2435">
        <f t="shared" si="10"/>
        <v>47220</v>
      </c>
      <c r="Q28" s="2435">
        <f t="shared" si="11"/>
        <v>49360</v>
      </c>
      <c r="R28" s="2435"/>
    </row>
    <row r="29" spans="2:18" hidden="1" outlineLevel="1"/>
    <row r="30" spans="2:18" hidden="1" outlineLevel="1"/>
    <row r="31" spans="2:18" ht="15.75" hidden="1" outlineLevel="1">
      <c r="B31" s="230" t="s">
        <v>99</v>
      </c>
    </row>
    <row r="32" spans="2:18" hidden="1" outlineLevel="1">
      <c r="B32" s="1773" t="s">
        <v>2231</v>
      </c>
    </row>
    <row r="33" spans="2:23" hidden="1" outlineLevel="1">
      <c r="B33" s="1773" t="s">
        <v>1955</v>
      </c>
    </row>
    <row r="34" spans="2:23" hidden="1" outlineLevel="1">
      <c r="B34" s="1773" t="s">
        <v>2235</v>
      </c>
    </row>
    <row r="35" spans="2:23" hidden="1" outlineLevel="1">
      <c r="B35" s="1773" t="s">
        <v>2037</v>
      </c>
    </row>
    <row r="36" spans="2:23" hidden="1" outlineLevel="1">
      <c r="B36" s="1773" t="s">
        <v>2232</v>
      </c>
    </row>
    <row r="37" spans="2:23" hidden="1" outlineLevel="1"/>
    <row r="38" spans="2:23" collapsed="1"/>
    <row r="45" spans="2:23">
      <c r="G45" s="344"/>
      <c r="H45" s="344"/>
      <c r="I45" s="344"/>
      <c r="J45" s="344"/>
      <c r="K45" s="344"/>
    </row>
    <row r="46" spans="2:23" s="73" customFormat="1">
      <c r="B46" s="471"/>
      <c r="C46" s="471"/>
      <c r="D46" s="471"/>
      <c r="E46" s="471"/>
      <c r="F46" s="471"/>
      <c r="G46" s="77"/>
      <c r="H46" s="77"/>
      <c r="I46" s="77"/>
      <c r="J46" s="77"/>
      <c r="K46" s="77"/>
      <c r="L46" s="471"/>
      <c r="M46" s="471"/>
      <c r="N46" s="471"/>
      <c r="O46" s="471"/>
      <c r="P46" s="471"/>
      <c r="Q46" s="471"/>
      <c r="R46" s="471"/>
      <c r="S46" s="471"/>
      <c r="T46" s="471"/>
      <c r="U46" s="471"/>
      <c r="V46" s="471"/>
      <c r="W46" s="471"/>
    </row>
    <row r="47" spans="2:23" s="73" customFormat="1">
      <c r="B47" s="471"/>
      <c r="C47" s="471"/>
      <c r="D47" s="471"/>
      <c r="E47" s="471"/>
      <c r="F47" s="471"/>
      <c r="G47" s="77"/>
      <c r="H47" s="77"/>
      <c r="I47" s="77"/>
      <c r="J47" s="77"/>
      <c r="K47" s="77"/>
      <c r="L47" s="471"/>
      <c r="M47" s="471"/>
      <c r="N47" s="471"/>
      <c r="O47" s="471"/>
      <c r="P47" s="471"/>
      <c r="Q47" s="471"/>
      <c r="R47" s="471"/>
      <c r="S47" s="471"/>
      <c r="T47" s="471"/>
      <c r="U47" s="471"/>
      <c r="V47" s="471"/>
      <c r="W47" s="471"/>
    </row>
  </sheetData>
  <sheetProtection password="E910" sheet="1" objects="1" scenarios="1"/>
  <mergeCells count="21">
    <mergeCell ref="E4:G4"/>
    <mergeCell ref="B17:B18"/>
    <mergeCell ref="B19:B25"/>
    <mergeCell ref="B26:B28"/>
    <mergeCell ref="E8:H8"/>
    <mergeCell ref="E7:F7"/>
    <mergeCell ref="B14:B16"/>
    <mergeCell ref="J8:J9"/>
    <mergeCell ref="K8:K9"/>
    <mergeCell ref="M8:N8"/>
    <mergeCell ref="P8:Q8"/>
    <mergeCell ref="B11:B13"/>
    <mergeCell ref="B6:C9"/>
    <mergeCell ref="D6:D9"/>
    <mergeCell ref="I6:K6"/>
    <mergeCell ref="L6:R6"/>
    <mergeCell ref="G7:K7"/>
    <mergeCell ref="L7:M7"/>
    <mergeCell ref="O7:P7"/>
    <mergeCell ref="I8:I9"/>
    <mergeCell ref="E6:H6"/>
  </mergeCells>
  <conditionalFormatting sqref="O8:P8 R8 I8:M8 E8 L9:R9 E19:F28 G11:R18">
    <cfRule type="cellIs" dxfId="42" priority="15" operator="equal">
      <formula>0</formula>
    </cfRule>
  </conditionalFormatting>
  <conditionalFormatting sqref="C11:C13">
    <cfRule type="cellIs" dxfId="41" priority="14" operator="equal">
      <formula>0</formula>
    </cfRule>
  </conditionalFormatting>
  <conditionalFormatting sqref="C14:C16">
    <cfRule type="cellIs" dxfId="40" priority="13" operator="equal">
      <formula>0</formula>
    </cfRule>
  </conditionalFormatting>
  <conditionalFormatting sqref="C17:C18">
    <cfRule type="cellIs" dxfId="39" priority="12" operator="equal">
      <formula>0</formula>
    </cfRule>
  </conditionalFormatting>
  <conditionalFormatting sqref="G19:R28">
    <cfRule type="cellIs" dxfId="38" priority="7" operator="equal">
      <formula>0</formula>
    </cfRule>
  </conditionalFormatting>
  <conditionalFormatting sqref="E11">
    <cfRule type="cellIs" dxfId="37" priority="5" operator="equal">
      <formula>0</formula>
    </cfRule>
  </conditionalFormatting>
  <conditionalFormatting sqref="E12:F12">
    <cfRule type="cellIs" dxfId="36" priority="4" operator="equal">
      <formula>0</formula>
    </cfRule>
  </conditionalFormatting>
  <conditionalFormatting sqref="F9 H9">
    <cfRule type="cellIs" dxfId="35" priority="3" operator="equal">
      <formula>0</formula>
    </cfRule>
  </conditionalFormatting>
  <conditionalFormatting sqref="E13:F18">
    <cfRule type="cellIs" dxfId="34" priority="2" operator="equal">
      <formula>0</formula>
    </cfRule>
  </conditionalFormatting>
  <conditionalFormatting sqref="F11">
    <cfRule type="cellIs" dxfId="33" priority="1" operator="equal">
      <formula>0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2:M50"/>
  <sheetViews>
    <sheetView topLeftCell="M1" workbookViewId="0">
      <selection activeCell="P13" sqref="P13"/>
    </sheetView>
  </sheetViews>
  <sheetFormatPr defaultColWidth="9.140625" defaultRowHeight="15" outlineLevelCol="1"/>
  <cols>
    <col min="1" max="1" width="4.140625" style="471" hidden="1" customWidth="1" outlineLevel="1"/>
    <col min="2" max="2" width="16.5703125" style="471" hidden="1" customWidth="1" outlineLevel="1"/>
    <col min="3" max="3" width="14" style="471" hidden="1" customWidth="1" outlineLevel="1"/>
    <col min="4" max="4" width="11.28515625" style="471" hidden="1" customWidth="1" outlineLevel="1"/>
    <col min="5" max="5" width="7.42578125" style="2467" hidden="1" customWidth="1" outlineLevel="1"/>
    <col min="6" max="6" width="9.28515625" style="471" hidden="1" customWidth="1" outlineLevel="1"/>
    <col min="7" max="7" width="9.85546875" style="471" hidden="1" customWidth="1" outlineLevel="1"/>
    <col min="8" max="8" width="14.42578125" style="471" hidden="1" customWidth="1" outlineLevel="1"/>
    <col min="9" max="12" width="4.140625" style="471" hidden="1" customWidth="1" outlineLevel="1"/>
    <col min="13" max="13" width="9.140625" style="471" collapsed="1"/>
    <col min="14" max="16384" width="9.140625" style="471"/>
  </cols>
  <sheetData>
    <row r="2" spans="2:8">
      <c r="F2" s="2467">
        <f>F7/G7-1</f>
        <v>-0.19999999999999996</v>
      </c>
      <c r="G2" s="2467">
        <f>G7/H7-1</f>
        <v>-0.41176470588235292</v>
      </c>
    </row>
    <row r="3" spans="2:8">
      <c r="F3" s="2468">
        <f>G7*(1+F2)</f>
        <v>400</v>
      </c>
      <c r="G3" s="2468">
        <f>H7*(1+G2)</f>
        <v>500</v>
      </c>
    </row>
    <row r="4" spans="2:8">
      <c r="B4" s="2853"/>
      <c r="C4" s="2853"/>
      <c r="D4" s="2831" t="s">
        <v>1744</v>
      </c>
      <c r="E4" s="2854" t="s">
        <v>2245</v>
      </c>
      <c r="F4" s="2855" t="s">
        <v>733</v>
      </c>
      <c r="G4" s="2855"/>
      <c r="H4" s="2855"/>
    </row>
    <row r="5" spans="2:8">
      <c r="B5" s="2853"/>
      <c r="C5" s="2853"/>
      <c r="D5" s="2831"/>
      <c r="E5" s="2854"/>
      <c r="F5" s="2469" t="s">
        <v>1350</v>
      </c>
      <c r="G5" s="2469" t="s">
        <v>1351</v>
      </c>
      <c r="H5" s="2469" t="s">
        <v>1352</v>
      </c>
    </row>
    <row r="6" spans="2:8">
      <c r="B6" s="2853"/>
      <c r="C6" s="2853"/>
      <c r="D6" s="2831"/>
      <c r="E6" s="2854"/>
      <c r="F6" s="2469" t="s">
        <v>2246</v>
      </c>
      <c r="G6" s="2470">
        <v>0.25</v>
      </c>
      <c r="H6" s="2470">
        <v>0.65</v>
      </c>
    </row>
    <row r="7" spans="2:8">
      <c r="B7" s="2471" t="s">
        <v>2247</v>
      </c>
      <c r="C7" s="2471" t="s">
        <v>2248</v>
      </c>
      <c r="D7" s="2471"/>
      <c r="E7" s="2472" t="s">
        <v>736</v>
      </c>
      <c r="F7" s="2473">
        <v>400</v>
      </c>
      <c r="G7" s="2474">
        <f t="shared" ref="G7:G35" si="0">F7*(1+$G$6)</f>
        <v>500</v>
      </c>
      <c r="H7" s="2474">
        <f t="shared" ref="H7:H35" si="1">CEILING(G7*(1+$H$6), 50)</f>
        <v>850</v>
      </c>
    </row>
    <row r="8" spans="2:8">
      <c r="B8" s="1284"/>
      <c r="C8" s="1284" t="s">
        <v>2249</v>
      </c>
      <c r="D8" s="1284"/>
      <c r="E8" s="2475">
        <v>1.2</v>
      </c>
      <c r="F8" s="2474">
        <f>F7*E8</f>
        <v>480</v>
      </c>
      <c r="G8" s="2474">
        <f t="shared" si="0"/>
        <v>600</v>
      </c>
      <c r="H8" s="2474">
        <f t="shared" si="1"/>
        <v>1000</v>
      </c>
    </row>
    <row r="9" spans="2:8">
      <c r="B9" s="1284"/>
      <c r="C9" s="1284" t="s">
        <v>2250</v>
      </c>
      <c r="D9" s="1284"/>
      <c r="E9" s="2475">
        <v>1.2</v>
      </c>
      <c r="F9" s="2474">
        <f>F7*E9</f>
        <v>480</v>
      </c>
      <c r="G9" s="2474">
        <f t="shared" si="0"/>
        <v>600</v>
      </c>
      <c r="H9" s="2474">
        <f t="shared" si="1"/>
        <v>1000</v>
      </c>
    </row>
    <row r="10" spans="2:8">
      <c r="B10" s="1284"/>
      <c r="C10" s="1284" t="s">
        <v>2251</v>
      </c>
      <c r="D10" s="1284"/>
      <c r="E10" s="2475">
        <v>2.5</v>
      </c>
      <c r="F10" s="2474">
        <f>F7*E10</f>
        <v>1000</v>
      </c>
      <c r="G10" s="2474">
        <f t="shared" si="0"/>
        <v>1250</v>
      </c>
      <c r="H10" s="2474">
        <f t="shared" si="1"/>
        <v>2100</v>
      </c>
    </row>
    <row r="11" spans="2:8">
      <c r="B11" s="2471" t="s">
        <v>2252</v>
      </c>
      <c r="C11" s="1284" t="s">
        <v>2248</v>
      </c>
      <c r="D11" s="1284"/>
      <c r="E11" s="2475">
        <v>1.3</v>
      </c>
      <c r="F11" s="2474">
        <f>F7*E11</f>
        <v>520</v>
      </c>
      <c r="G11" s="2474">
        <f t="shared" si="0"/>
        <v>650</v>
      </c>
      <c r="H11" s="2474">
        <f t="shared" si="1"/>
        <v>1100</v>
      </c>
    </row>
    <row r="12" spans="2:8">
      <c r="B12" s="1284"/>
      <c r="C12" s="1284" t="s">
        <v>2249</v>
      </c>
      <c r="D12" s="1284"/>
      <c r="E12" s="2475">
        <v>1.2</v>
      </c>
      <c r="F12" s="2474">
        <f>F11*E12</f>
        <v>624</v>
      </c>
      <c r="G12" s="2474">
        <f t="shared" si="0"/>
        <v>780</v>
      </c>
      <c r="H12" s="2474">
        <f t="shared" si="1"/>
        <v>1300</v>
      </c>
    </row>
    <row r="13" spans="2:8">
      <c r="B13" s="1284"/>
      <c r="C13" s="1284" t="s">
        <v>2250</v>
      </c>
      <c r="D13" s="1284"/>
      <c r="E13" s="2475">
        <v>1.2</v>
      </c>
      <c r="F13" s="2474">
        <f>F11*E13</f>
        <v>624</v>
      </c>
      <c r="G13" s="2474">
        <f t="shared" si="0"/>
        <v>780</v>
      </c>
      <c r="H13" s="2474">
        <f t="shared" si="1"/>
        <v>1300</v>
      </c>
    </row>
    <row r="14" spans="2:8">
      <c r="B14" s="1284"/>
      <c r="C14" s="1284" t="s">
        <v>2251</v>
      </c>
      <c r="D14" s="1284"/>
      <c r="E14" s="2475">
        <v>2.5</v>
      </c>
      <c r="F14" s="2474">
        <f>F11*E14</f>
        <v>1300</v>
      </c>
      <c r="G14" s="2474">
        <f t="shared" si="0"/>
        <v>1625</v>
      </c>
      <c r="H14" s="2474">
        <f t="shared" si="1"/>
        <v>2700</v>
      </c>
    </row>
    <row r="15" spans="2:8">
      <c r="B15" s="2471" t="s">
        <v>2253</v>
      </c>
      <c r="C15" s="1284" t="s">
        <v>2248</v>
      </c>
      <c r="D15" s="1284"/>
      <c r="E15" s="2475">
        <v>1.5</v>
      </c>
      <c r="F15" s="2474">
        <f>F7*E15</f>
        <v>600</v>
      </c>
      <c r="G15" s="2474">
        <f t="shared" si="0"/>
        <v>750</v>
      </c>
      <c r="H15" s="2474">
        <f t="shared" si="1"/>
        <v>1250</v>
      </c>
    </row>
    <row r="16" spans="2:8">
      <c r="B16" s="1284"/>
      <c r="C16" s="1284" t="s">
        <v>2249</v>
      </c>
      <c r="D16" s="1284"/>
      <c r="E16" s="2475">
        <v>1.2</v>
      </c>
      <c r="F16" s="2474">
        <f>F15*E16</f>
        <v>720</v>
      </c>
      <c r="G16" s="2474">
        <f t="shared" si="0"/>
        <v>900</v>
      </c>
      <c r="H16" s="2474">
        <f t="shared" si="1"/>
        <v>1500</v>
      </c>
    </row>
    <row r="17" spans="2:8">
      <c r="B17" s="1284"/>
      <c r="C17" s="1284" t="s">
        <v>2250</v>
      </c>
      <c r="D17" s="1284"/>
      <c r="E17" s="2475">
        <v>1.2</v>
      </c>
      <c r="F17" s="2474">
        <f>F15*E17</f>
        <v>720</v>
      </c>
      <c r="G17" s="2474">
        <f t="shared" si="0"/>
        <v>900</v>
      </c>
      <c r="H17" s="2474">
        <f t="shared" si="1"/>
        <v>1500</v>
      </c>
    </row>
    <row r="18" spans="2:8">
      <c r="B18" s="1284"/>
      <c r="C18" s="1284" t="s">
        <v>2251</v>
      </c>
      <c r="D18" s="1284"/>
      <c r="E18" s="2475">
        <v>2.5</v>
      </c>
      <c r="F18" s="2474">
        <f>F15*E18</f>
        <v>1500</v>
      </c>
      <c r="G18" s="2474">
        <f t="shared" si="0"/>
        <v>1875</v>
      </c>
      <c r="H18" s="2474">
        <f t="shared" si="1"/>
        <v>3100</v>
      </c>
    </row>
    <row r="19" spans="2:8">
      <c r="B19" s="2471" t="s">
        <v>2254</v>
      </c>
      <c r="C19" s="1284" t="s">
        <v>1333</v>
      </c>
      <c r="D19" s="1284"/>
      <c r="E19" s="2472" t="s">
        <v>736</v>
      </c>
      <c r="F19" s="2473">
        <v>2623</v>
      </c>
      <c r="G19" s="2474">
        <f t="shared" si="0"/>
        <v>3278.75</v>
      </c>
      <c r="H19" s="2474">
        <f t="shared" si="1"/>
        <v>5450</v>
      </c>
    </row>
    <row r="20" spans="2:8">
      <c r="B20" s="1284"/>
      <c r="C20" s="1284" t="s">
        <v>232</v>
      </c>
      <c r="D20" s="1284"/>
      <c r="E20" s="2475">
        <v>1.1000000000000001</v>
      </c>
      <c r="F20" s="2474">
        <f>F19*E20</f>
        <v>2885.3</v>
      </c>
      <c r="G20" s="2474">
        <f t="shared" si="0"/>
        <v>3606.625</v>
      </c>
      <c r="H20" s="2474">
        <f t="shared" si="1"/>
        <v>6000</v>
      </c>
    </row>
    <row r="21" spans="2:8">
      <c r="B21" s="1284"/>
      <c r="C21" s="1284" t="s">
        <v>1361</v>
      </c>
      <c r="D21" s="1284"/>
      <c r="E21" s="2475">
        <v>1.25</v>
      </c>
      <c r="F21" s="2474">
        <f>F19*E21</f>
        <v>3278.75</v>
      </c>
      <c r="G21" s="2474">
        <f t="shared" si="0"/>
        <v>4098.4375</v>
      </c>
      <c r="H21" s="2474">
        <f t="shared" si="1"/>
        <v>6800</v>
      </c>
    </row>
    <row r="22" spans="2:8">
      <c r="B22" s="2471" t="s">
        <v>2255</v>
      </c>
      <c r="C22" s="1284" t="s">
        <v>2256</v>
      </c>
      <c r="D22" s="1284"/>
      <c r="E22" s="2472" t="s">
        <v>736</v>
      </c>
      <c r="F22" s="2473">
        <v>4100</v>
      </c>
      <c r="G22" s="2474">
        <f t="shared" si="0"/>
        <v>5125</v>
      </c>
      <c r="H22" s="2474">
        <f t="shared" si="1"/>
        <v>8500</v>
      </c>
    </row>
    <row r="23" spans="2:8">
      <c r="B23" s="1284"/>
      <c r="C23" s="1284" t="s">
        <v>2257</v>
      </c>
      <c r="D23" s="1284"/>
      <c r="E23" s="2475">
        <v>1.1000000000000001</v>
      </c>
      <c r="F23" s="2474">
        <f>F22*E23</f>
        <v>4510</v>
      </c>
      <c r="G23" s="2474">
        <f t="shared" si="0"/>
        <v>5637.5</v>
      </c>
      <c r="H23" s="2474">
        <f t="shared" si="1"/>
        <v>9350</v>
      </c>
    </row>
    <row r="24" spans="2:8">
      <c r="B24" s="1284"/>
      <c r="C24" s="1284" t="s">
        <v>2258</v>
      </c>
      <c r="D24" s="1284"/>
      <c r="E24" s="2475">
        <v>1.25</v>
      </c>
      <c r="F24" s="2474">
        <f>F22*E24</f>
        <v>5125</v>
      </c>
      <c r="G24" s="2474">
        <f t="shared" si="0"/>
        <v>6406.25</v>
      </c>
      <c r="H24" s="2474">
        <f t="shared" si="1"/>
        <v>10600</v>
      </c>
    </row>
    <row r="25" spans="2:8">
      <c r="B25" s="2471" t="s">
        <v>2259</v>
      </c>
      <c r="C25" s="1284" t="s">
        <v>2260</v>
      </c>
      <c r="D25" s="1284"/>
      <c r="E25" s="2472" t="s">
        <v>736</v>
      </c>
      <c r="F25" s="2473">
        <v>8000</v>
      </c>
      <c r="G25" s="2474">
        <f t="shared" si="0"/>
        <v>10000</v>
      </c>
      <c r="H25" s="2474">
        <f t="shared" si="1"/>
        <v>16500</v>
      </c>
    </row>
    <row r="26" spans="2:8">
      <c r="B26" s="1284"/>
      <c r="C26" s="1284" t="s">
        <v>2261</v>
      </c>
      <c r="D26" s="1284"/>
      <c r="E26" s="2475">
        <v>1</v>
      </c>
      <c r="F26" s="2474">
        <f>F25*E26</f>
        <v>8000</v>
      </c>
      <c r="G26" s="2474">
        <f t="shared" si="0"/>
        <v>10000</v>
      </c>
      <c r="H26" s="2474">
        <f t="shared" si="1"/>
        <v>16500</v>
      </c>
    </row>
    <row r="27" spans="2:8">
      <c r="B27" s="1284"/>
      <c r="C27" s="1284" t="s">
        <v>2262</v>
      </c>
      <c r="D27" s="1284"/>
      <c r="E27" s="2475">
        <v>1</v>
      </c>
      <c r="F27" s="2474">
        <f>F25*E27</f>
        <v>8000</v>
      </c>
      <c r="G27" s="2474">
        <f t="shared" si="0"/>
        <v>10000</v>
      </c>
      <c r="H27" s="2474">
        <f t="shared" si="1"/>
        <v>16500</v>
      </c>
    </row>
    <row r="28" spans="2:8">
      <c r="B28" s="2471" t="s">
        <v>1216</v>
      </c>
      <c r="C28" s="1284" t="s">
        <v>2248</v>
      </c>
      <c r="D28" s="1284"/>
      <c r="E28" s="2472" t="s">
        <v>736</v>
      </c>
      <c r="F28" s="2473">
        <v>2160</v>
      </c>
      <c r="G28" s="2474">
        <f t="shared" si="0"/>
        <v>2700</v>
      </c>
      <c r="H28" s="2474">
        <f t="shared" si="1"/>
        <v>4500</v>
      </c>
    </row>
    <row r="29" spans="2:8">
      <c r="B29" s="1284"/>
      <c r="C29" s="1284" t="s">
        <v>2263</v>
      </c>
      <c r="D29" s="1284"/>
      <c r="E29" s="2475">
        <v>1.2</v>
      </c>
      <c r="F29" s="2474">
        <f>F28*E29</f>
        <v>2592</v>
      </c>
      <c r="G29" s="2474">
        <f t="shared" si="0"/>
        <v>3240</v>
      </c>
      <c r="H29" s="2474">
        <f t="shared" si="1"/>
        <v>5350</v>
      </c>
    </row>
    <row r="30" spans="2:8">
      <c r="B30" s="1284"/>
      <c r="C30" s="1284" t="s">
        <v>2249</v>
      </c>
      <c r="D30" s="1284"/>
      <c r="E30" s="2475">
        <v>1.2</v>
      </c>
      <c r="F30" s="2474">
        <f>F28*E30</f>
        <v>2592</v>
      </c>
      <c r="G30" s="2474">
        <f t="shared" si="0"/>
        <v>3240</v>
      </c>
      <c r="H30" s="2474">
        <f t="shared" si="1"/>
        <v>5350</v>
      </c>
    </row>
    <row r="31" spans="2:8">
      <c r="B31" s="1284"/>
      <c r="C31" s="1284" t="s">
        <v>2250</v>
      </c>
      <c r="D31" s="1284"/>
      <c r="E31" s="2475">
        <v>1.2</v>
      </c>
      <c r="F31" s="2474">
        <f>F28*E31</f>
        <v>2592</v>
      </c>
      <c r="G31" s="2474">
        <f t="shared" si="0"/>
        <v>3240</v>
      </c>
      <c r="H31" s="2474">
        <f t="shared" si="1"/>
        <v>5350</v>
      </c>
    </row>
    <row r="32" spans="2:8">
      <c r="B32" s="1284"/>
      <c r="C32" s="1284" t="s">
        <v>2251</v>
      </c>
      <c r="D32" s="1284"/>
      <c r="E32" s="2475">
        <v>2.5</v>
      </c>
      <c r="F32" s="2474">
        <f>F28*E32</f>
        <v>5400</v>
      </c>
      <c r="G32" s="2474">
        <f t="shared" si="0"/>
        <v>6750</v>
      </c>
      <c r="H32" s="2474">
        <f t="shared" si="1"/>
        <v>11150</v>
      </c>
    </row>
    <row r="33" spans="1:12">
      <c r="B33" s="1284"/>
      <c r="C33" s="1284" t="s">
        <v>2264</v>
      </c>
      <c r="D33" s="1284"/>
      <c r="E33" s="2475">
        <v>4</v>
      </c>
      <c r="F33" s="2474">
        <f>F28*E33</f>
        <v>8640</v>
      </c>
      <c r="G33" s="2474">
        <f t="shared" si="0"/>
        <v>10800</v>
      </c>
      <c r="H33" s="2474">
        <f t="shared" si="1"/>
        <v>17850</v>
      </c>
    </row>
    <row r="34" spans="1:12">
      <c r="B34" s="1284"/>
      <c r="C34" s="1284" t="s">
        <v>1354</v>
      </c>
      <c r="D34" s="1284"/>
      <c r="E34" s="2472" t="s">
        <v>736</v>
      </c>
      <c r="F34" s="2473">
        <v>2400</v>
      </c>
      <c r="G34" s="2474">
        <f t="shared" si="0"/>
        <v>3000</v>
      </c>
      <c r="H34" s="2474">
        <f t="shared" si="1"/>
        <v>4950</v>
      </c>
    </row>
    <row r="35" spans="1:12">
      <c r="B35" s="2471" t="s">
        <v>51</v>
      </c>
      <c r="C35" s="1284" t="s">
        <v>2251</v>
      </c>
      <c r="D35" s="1284"/>
      <c r="E35" s="2472">
        <v>1.1000000000000001</v>
      </c>
      <c r="F35" s="2473">
        <f>F10*E35</f>
        <v>1100</v>
      </c>
      <c r="G35" s="2474">
        <f t="shared" si="0"/>
        <v>1375</v>
      </c>
      <c r="H35" s="2474">
        <f t="shared" si="1"/>
        <v>2300</v>
      </c>
    </row>
    <row r="37" spans="1:12">
      <c r="B37" s="2476" t="s">
        <v>2265</v>
      </c>
    </row>
    <row r="39" spans="1:12">
      <c r="C39" s="2477" t="s">
        <v>878</v>
      </c>
      <c r="F39" s="471">
        <v>950</v>
      </c>
      <c r="G39" s="471" t="s">
        <v>1367</v>
      </c>
    </row>
    <row r="40" spans="1:12">
      <c r="C40" s="184"/>
    </row>
    <row r="41" spans="1:12">
      <c r="A41" s="20"/>
      <c r="C41" s="2477" t="s">
        <v>2266</v>
      </c>
      <c r="D41" s="20"/>
      <c r="E41" s="2478"/>
      <c r="F41" s="20"/>
      <c r="G41" s="20"/>
      <c r="H41" s="20"/>
      <c r="I41" s="20"/>
      <c r="J41" s="20"/>
      <c r="K41" s="20"/>
      <c r="L41" s="20"/>
    </row>
    <row r="42" spans="1:12">
      <c r="A42" s="20"/>
      <c r="C42" s="2477"/>
      <c r="D42" s="20"/>
      <c r="E42" s="2478"/>
      <c r="F42" s="20"/>
      <c r="G42" s="20"/>
      <c r="H42" s="20"/>
      <c r="I42" s="20"/>
      <c r="J42" s="20"/>
      <c r="K42" s="20"/>
      <c r="L42" s="20"/>
    </row>
    <row r="43" spans="1:12">
      <c r="C43" s="2477" t="s">
        <v>2267</v>
      </c>
      <c r="F43" s="471">
        <v>750</v>
      </c>
      <c r="G43" s="471" t="s">
        <v>805</v>
      </c>
    </row>
    <row r="44" spans="1:12">
      <c r="C44" s="184"/>
    </row>
    <row r="45" spans="1:12">
      <c r="C45" s="2477" t="s">
        <v>884</v>
      </c>
      <c r="F45" s="471">
        <v>500</v>
      </c>
      <c r="G45" s="471" t="s">
        <v>2268</v>
      </c>
    </row>
    <row r="46" spans="1:12">
      <c r="C46" s="184"/>
    </row>
    <row r="47" spans="1:12">
      <c r="C47" s="2477" t="s">
        <v>881</v>
      </c>
      <c r="F47" s="471">
        <v>300</v>
      </c>
      <c r="G47" s="471" t="s">
        <v>2268</v>
      </c>
    </row>
    <row r="48" spans="1:12">
      <c r="C48" s="184"/>
    </row>
    <row r="49" spans="3:7">
      <c r="C49" s="2477" t="s">
        <v>2269</v>
      </c>
      <c r="F49" s="471">
        <v>300</v>
      </c>
      <c r="G49" s="471" t="s">
        <v>2268</v>
      </c>
    </row>
    <row r="50" spans="3:7">
      <c r="C50" s="184"/>
    </row>
  </sheetData>
  <sheetProtection password="E910" sheet="1" objects="1" scenarios="1"/>
  <mergeCells count="5">
    <mergeCell ref="B4:B6"/>
    <mergeCell ref="C4:C6"/>
    <mergeCell ref="D4:D6"/>
    <mergeCell ref="E4:E6"/>
    <mergeCell ref="F4:H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AD91"/>
  <sheetViews>
    <sheetView view="pageBreakPreview" topLeftCell="X1" zoomScale="115" zoomScaleNormal="100" zoomScaleSheetLayoutView="115" workbookViewId="0">
      <selection activeCell="AB9" sqref="AB9"/>
    </sheetView>
  </sheetViews>
  <sheetFormatPr defaultColWidth="9.140625" defaultRowHeight="15" outlineLevelRow="1" outlineLevelCol="1"/>
  <cols>
    <col min="1" max="1" width="20.140625" style="471" hidden="1" customWidth="1" outlineLevel="1"/>
    <col min="2" max="7" width="9.140625" style="2119" hidden="1" customWidth="1" outlineLevel="1"/>
    <col min="8" max="8" width="7.5703125" style="471" hidden="1" customWidth="1" outlineLevel="1"/>
    <col min="9" max="9" width="20.140625" style="471" hidden="1" customWidth="1" outlineLevel="1"/>
    <col min="10" max="15" width="9.140625" style="2119" hidden="1" customWidth="1" outlineLevel="1"/>
    <col min="16" max="16" width="0" style="471" hidden="1" customWidth="1" outlineLevel="1"/>
    <col min="17" max="17" width="20.140625" style="471" hidden="1" customWidth="1" outlineLevel="1"/>
    <col min="18" max="23" width="9.140625" style="2119" hidden="1" customWidth="1" outlineLevel="1"/>
    <col min="24" max="24" width="9.140625" style="471" collapsed="1"/>
    <col min="25" max="16384" width="9.140625" style="471"/>
  </cols>
  <sheetData>
    <row r="1" spans="1:30" s="11" customFormat="1" ht="18" customHeight="1" outlineLevel="1">
      <c r="A1" s="2165" t="s">
        <v>307</v>
      </c>
      <c r="B1" s="2115"/>
      <c r="C1" s="2115"/>
      <c r="D1" s="2115"/>
      <c r="E1" s="2115"/>
      <c r="F1" s="24"/>
      <c r="G1" s="24"/>
      <c r="H1" s="24"/>
      <c r="I1" s="2165" t="s">
        <v>2064</v>
      </c>
      <c r="J1" s="2115"/>
      <c r="K1" s="2115"/>
      <c r="L1" s="2115"/>
      <c r="M1" s="2115"/>
      <c r="N1" s="24"/>
      <c r="O1" s="24"/>
      <c r="P1" s="319"/>
      <c r="Q1" s="2165" t="s">
        <v>2065</v>
      </c>
      <c r="R1" s="2115"/>
      <c r="S1" s="2115"/>
      <c r="T1" s="2115"/>
      <c r="U1" s="2115"/>
      <c r="V1" s="24"/>
      <c r="W1" s="24"/>
      <c r="X1" s="319"/>
      <c r="Y1" s="319"/>
      <c r="Z1" s="319"/>
      <c r="AA1" s="319"/>
      <c r="AB1" s="319"/>
    </row>
    <row r="2" spans="1:30" ht="18" customHeight="1" outlineLevel="1">
      <c r="A2" s="5" t="s">
        <v>2068</v>
      </c>
      <c r="B2" s="2125">
        <f>'Погонаж опт'!Q4</f>
        <v>8265.5</v>
      </c>
      <c r="C2" s="2125">
        <f>'Погонаж опт'!R4</f>
        <v>8265.5</v>
      </c>
      <c r="D2" s="2125">
        <f>'Погонаж опт'!S4</f>
        <v>8768.75</v>
      </c>
      <c r="E2" s="2125">
        <f>'Погонаж опт'!T4</f>
        <v>9531.25</v>
      </c>
      <c r="F2" s="2125">
        <f>'Погонаж опт'!U4</f>
        <v>9836.25</v>
      </c>
      <c r="G2" s="2125">
        <f>'Погонаж опт'!V4</f>
        <v>10217.5</v>
      </c>
      <c r="H2" s="13"/>
      <c r="I2" s="5" t="s">
        <v>2068</v>
      </c>
      <c r="J2" s="2125">
        <f>'Погонаж опт'!C4</f>
        <v>7884.25</v>
      </c>
      <c r="K2" s="2125">
        <f>'Погонаж опт'!D4</f>
        <v>7884.25</v>
      </c>
      <c r="L2" s="2125">
        <f>'Погонаж опт'!E4</f>
        <v>8387.5</v>
      </c>
      <c r="M2" s="2125">
        <f>'Погонаж опт'!F4</f>
        <v>8997.5</v>
      </c>
      <c r="N2" s="2125">
        <f>'Погонаж опт'!G4</f>
        <v>9455</v>
      </c>
      <c r="O2" s="2125">
        <f>'Погонаж опт'!H4</f>
        <v>9836.25</v>
      </c>
      <c r="P2" s="211"/>
      <c r="Q2" s="5"/>
      <c r="R2" s="2116"/>
      <c r="S2" s="2116"/>
      <c r="T2" s="2116"/>
      <c r="U2" s="2116"/>
      <c r="V2" s="2117"/>
      <c r="W2" s="2117"/>
      <c r="X2" s="211"/>
      <c r="Y2" s="211"/>
      <c r="Z2" s="211"/>
      <c r="AA2" s="211"/>
      <c r="AB2" s="211"/>
      <c r="AC2" s="211"/>
      <c r="AD2" s="211"/>
    </row>
    <row r="3" spans="1:30" ht="68.25" customHeight="1" outlineLevel="1">
      <c r="A3" s="2856"/>
      <c r="B3" s="2857"/>
      <c r="C3" s="2857"/>
      <c r="D3" s="2857"/>
      <c r="E3" s="2857"/>
      <c r="F3" s="2857"/>
      <c r="G3" s="2858"/>
      <c r="H3" s="211"/>
      <c r="I3" s="2859" t="s">
        <v>2030</v>
      </c>
      <c r="J3" s="2857"/>
      <c r="K3" s="2857"/>
      <c r="L3" s="2857"/>
      <c r="M3" s="2857"/>
      <c r="N3" s="2857"/>
      <c r="O3" s="2860"/>
      <c r="P3" s="211"/>
      <c r="Q3" s="2859" t="s">
        <v>2030</v>
      </c>
      <c r="R3" s="2857"/>
      <c r="S3" s="2857"/>
      <c r="T3" s="2857"/>
      <c r="U3" s="2857"/>
      <c r="V3" s="2857"/>
      <c r="W3" s="2860"/>
      <c r="X3" s="211"/>
      <c r="Y3" s="211"/>
      <c r="Z3" s="211"/>
      <c r="AA3" s="211"/>
      <c r="AB3" s="211"/>
      <c r="AC3" s="211"/>
      <c r="AD3" s="211"/>
    </row>
    <row r="4" spans="1:30" outlineLevel="1"/>
    <row r="5" spans="1:30" outlineLevel="1">
      <c r="A5" s="2861" t="s">
        <v>1977</v>
      </c>
      <c r="B5" s="2864"/>
      <c r="C5" s="2864"/>
      <c r="D5" s="2864"/>
      <c r="E5" s="2864"/>
      <c r="F5" s="2864"/>
      <c r="G5" s="2865"/>
      <c r="H5" s="2254"/>
      <c r="I5" s="2861" t="s">
        <v>1977</v>
      </c>
      <c r="J5" s="2864"/>
      <c r="K5" s="2864"/>
      <c r="L5" s="2864"/>
      <c r="M5" s="2864"/>
      <c r="N5" s="2864"/>
      <c r="O5" s="2866"/>
      <c r="Q5" s="2861" t="s">
        <v>1977</v>
      </c>
      <c r="R5" s="2864"/>
      <c r="S5" s="2864"/>
      <c r="T5" s="2864"/>
      <c r="U5" s="2864"/>
      <c r="V5" s="2864"/>
      <c r="W5" s="2866"/>
    </row>
    <row r="6" spans="1:30" outlineLevel="1">
      <c r="A6" s="2862"/>
      <c r="B6" s="2867"/>
      <c r="C6" s="2868"/>
      <c r="D6" s="2869" t="s">
        <v>529</v>
      </c>
      <c r="E6" s="2869"/>
      <c r="F6" s="2869"/>
      <c r="G6" s="2869"/>
      <c r="H6" s="2254"/>
      <c r="I6" s="2862"/>
      <c r="J6" s="2867"/>
      <c r="K6" s="2870"/>
      <c r="L6" s="2869" t="s">
        <v>529</v>
      </c>
      <c r="M6" s="2869"/>
      <c r="N6" s="2869"/>
      <c r="O6" s="2869"/>
      <c r="Q6" s="2862"/>
      <c r="R6" s="2867"/>
      <c r="S6" s="2870"/>
      <c r="T6" s="2869" t="s">
        <v>529</v>
      </c>
      <c r="U6" s="2869"/>
      <c r="V6" s="2869"/>
      <c r="W6" s="2869"/>
    </row>
    <row r="7" spans="1:30" ht="15.75" outlineLevel="1" thickBot="1">
      <c r="A7" s="2863"/>
      <c r="B7" s="2094" t="s">
        <v>207</v>
      </c>
      <c r="C7" s="2093" t="s">
        <v>1978</v>
      </c>
      <c r="D7" s="2094" t="s">
        <v>1281</v>
      </c>
      <c r="E7" s="2093" t="s">
        <v>1287</v>
      </c>
      <c r="F7" s="2094" t="s">
        <v>1806</v>
      </c>
      <c r="G7" s="2093" t="s">
        <v>1293</v>
      </c>
      <c r="H7" s="2254"/>
      <c r="I7" s="2863"/>
      <c r="J7" s="2094" t="s">
        <v>207</v>
      </c>
      <c r="K7" s="2093" t="s">
        <v>1978</v>
      </c>
      <c r="L7" s="2094" t="s">
        <v>1281</v>
      </c>
      <c r="M7" s="2093" t="s">
        <v>1287</v>
      </c>
      <c r="N7" s="2094" t="s">
        <v>1806</v>
      </c>
      <c r="O7" s="2093" t="s">
        <v>1293</v>
      </c>
      <c r="Q7" s="2863"/>
      <c r="R7" s="2094" t="s">
        <v>207</v>
      </c>
      <c r="S7" s="2093" t="s">
        <v>1978</v>
      </c>
      <c r="T7" s="2094" t="s">
        <v>1281</v>
      </c>
      <c r="U7" s="2093" t="s">
        <v>1287</v>
      </c>
      <c r="V7" s="2094" t="s">
        <v>1806</v>
      </c>
      <c r="W7" s="2093" t="s">
        <v>1293</v>
      </c>
    </row>
    <row r="8" spans="1:30" ht="15.75" outlineLevel="1" thickBot="1">
      <c r="A8" s="2095" t="s">
        <v>2018</v>
      </c>
      <c r="B8" s="2121">
        <f>'Комплекты опт'!B8-'Полотна опт'!$B$2</f>
        <v>11590</v>
      </c>
      <c r="C8" s="2122"/>
      <c r="D8" s="2121">
        <f>'Комплекты опт'!D8-'Полотна опт'!$D$2</f>
        <v>12852.7</v>
      </c>
      <c r="E8" s="2120">
        <f>'Комплекты опт'!E8-'Полотна опт'!$E$2</f>
        <v>13816.5</v>
      </c>
      <c r="F8" s="2121">
        <f>'Комплекты опт'!F8-'Полотна опт'!$F$2</f>
        <v>14438.7</v>
      </c>
      <c r="G8" s="2123">
        <f>'Комплекты опт'!G8-'Полотна опт'!$G$2</f>
        <v>15060.899999999998</v>
      </c>
      <c r="H8" s="2254"/>
      <c r="I8" s="2095" t="s">
        <v>2018</v>
      </c>
      <c r="J8" s="2121">
        <v>11016.599999999999</v>
      </c>
      <c r="K8" s="2122"/>
      <c r="L8" s="2121">
        <v>12242.7</v>
      </c>
      <c r="M8" s="2120">
        <v>13157.7</v>
      </c>
      <c r="N8" s="2121">
        <v>13755.5</v>
      </c>
      <c r="O8" s="2123">
        <v>14347.2</v>
      </c>
      <c r="Q8" s="2095" t="s">
        <v>2018</v>
      </c>
      <c r="R8" s="2253">
        <f>B8/J8-1</f>
        <v>5.2048726467331274E-2</v>
      </c>
      <c r="S8" s="2253"/>
      <c r="T8" s="2253">
        <f t="shared" ref="T8:W9" si="0">D8/L8-1</f>
        <v>4.9825610363726902E-2</v>
      </c>
      <c r="U8" s="2253">
        <f t="shared" si="0"/>
        <v>5.0069541029207132E-2</v>
      </c>
      <c r="V8" s="2253">
        <f t="shared" si="0"/>
        <v>4.9667405764966865E-2</v>
      </c>
      <c r="W8" s="2253">
        <f t="shared" si="0"/>
        <v>4.9744897959183465E-2</v>
      </c>
    </row>
    <row r="9" spans="1:30" ht="15.75" outlineLevel="1" thickBot="1">
      <c r="A9" s="2096" t="s">
        <v>2019</v>
      </c>
      <c r="B9" s="2121">
        <f>'Комплекты опт'!B9-'Полотна опт'!$B$2</f>
        <v>20130</v>
      </c>
      <c r="C9" s="2122"/>
      <c r="D9" s="2121">
        <f>'Комплекты опт'!D9-'Полотна опт'!$D$2</f>
        <v>20923</v>
      </c>
      <c r="E9" s="2120">
        <f>'Комплекты опт'!E9-'Полотна опт'!$E$2</f>
        <v>21624.5</v>
      </c>
      <c r="F9" s="2121">
        <f>'Комплекты опт'!F9-'Полотна опт'!$F$2</f>
        <v>22112.5</v>
      </c>
      <c r="G9" s="2123">
        <f>'Комплекты опт'!G9-'Полотна опт'!$G$2</f>
        <v>22570</v>
      </c>
      <c r="H9" s="2254"/>
      <c r="I9" s="2249" t="s">
        <v>2019</v>
      </c>
      <c r="J9" s="2121">
        <v>19108.25</v>
      </c>
      <c r="K9" s="2122"/>
      <c r="L9" s="2121">
        <v>19916.5</v>
      </c>
      <c r="M9" s="2120">
        <v>20587.5</v>
      </c>
      <c r="N9" s="2121">
        <v>21045</v>
      </c>
      <c r="O9" s="2123">
        <v>21472</v>
      </c>
      <c r="Q9" s="2249" t="s">
        <v>2019</v>
      </c>
      <c r="R9" s="2253">
        <f>B9/J9-1</f>
        <v>5.3471667996807692E-2</v>
      </c>
      <c r="S9" s="2253"/>
      <c r="T9" s="2253">
        <f t="shared" si="0"/>
        <v>5.0535987748851374E-2</v>
      </c>
      <c r="U9" s="2253">
        <f t="shared" si="0"/>
        <v>5.0370370370370399E-2</v>
      </c>
      <c r="V9" s="2253">
        <f t="shared" si="0"/>
        <v>5.0724637681159424E-2</v>
      </c>
      <c r="W9" s="2253">
        <f t="shared" si="0"/>
        <v>5.1136363636363535E-2</v>
      </c>
    </row>
    <row r="10" spans="1:30" ht="15.75" outlineLevel="1" thickBot="1">
      <c r="A10" s="2096" t="s">
        <v>2020</v>
      </c>
      <c r="B10" s="2121"/>
      <c r="C10" s="2122"/>
      <c r="D10" s="2121"/>
      <c r="E10" s="2120"/>
      <c r="F10" s="2121"/>
      <c r="G10" s="2123"/>
      <c r="H10" s="2254"/>
      <c r="I10" s="2249" t="s">
        <v>2020</v>
      </c>
      <c r="J10" s="2121"/>
      <c r="K10" s="2122"/>
      <c r="L10" s="2121"/>
      <c r="M10" s="2120"/>
      <c r="N10" s="2121"/>
      <c r="O10" s="2123"/>
      <c r="Q10" s="2249" t="s">
        <v>2020</v>
      </c>
      <c r="R10" s="2253"/>
      <c r="S10" s="2253"/>
      <c r="T10" s="2253"/>
      <c r="U10" s="2253"/>
      <c r="V10" s="2253"/>
      <c r="W10" s="2253"/>
    </row>
    <row r="11" spans="1:30" ht="15.75" outlineLevel="1" thickBot="1">
      <c r="A11" s="2096" t="s">
        <v>1974</v>
      </c>
      <c r="B11" s="2121">
        <f>'Комплекты опт'!B11-'Полотна опт'!$B$2</f>
        <v>14487.5</v>
      </c>
      <c r="C11" s="2122"/>
      <c r="D11" s="2121">
        <f>'Комплекты опт'!D11-'Полотна опт'!$D$2</f>
        <v>16065.875</v>
      </c>
      <c r="E11" s="2120">
        <f>'Комплекты опт'!E11-'Полотна опт'!$E$2</f>
        <v>17270.625</v>
      </c>
      <c r="F11" s="2121">
        <f>'Комплекты опт'!F11-'Полотна опт'!$F$2</f>
        <v>18048.375</v>
      </c>
      <c r="G11" s="2123">
        <f>'Комплекты опт'!G11-'Полотна опт'!$G$2</f>
        <v>18826.125</v>
      </c>
      <c r="H11" s="2254"/>
      <c r="I11" s="2249" t="s">
        <v>1974</v>
      </c>
      <c r="J11" s="2121">
        <v>13770.75</v>
      </c>
      <c r="K11" s="2122"/>
      <c r="L11" s="2121">
        <v>15303.375</v>
      </c>
      <c r="M11" s="2120">
        <v>16447.125</v>
      </c>
      <c r="N11" s="2121">
        <v>17194.375</v>
      </c>
      <c r="O11" s="2123">
        <v>17934</v>
      </c>
      <c r="Q11" s="2249" t="s">
        <v>1974</v>
      </c>
      <c r="R11" s="2253">
        <f>B11/J11-1</f>
        <v>5.2048726467331052E-2</v>
      </c>
      <c r="S11" s="2253"/>
      <c r="T11" s="2253">
        <f t="shared" ref="T11:W12" si="1">D11/L11-1</f>
        <v>4.9825610363726902E-2</v>
      </c>
      <c r="U11" s="2253">
        <f t="shared" si="1"/>
        <v>5.0069541029207132E-2</v>
      </c>
      <c r="V11" s="2253">
        <f t="shared" si="1"/>
        <v>4.9667405764966643E-2</v>
      </c>
      <c r="W11" s="2253">
        <f t="shared" si="1"/>
        <v>4.9744897959183687E-2</v>
      </c>
    </row>
    <row r="12" spans="1:30" ht="15.75" outlineLevel="1" thickBot="1">
      <c r="A12" s="2096" t="s">
        <v>2021</v>
      </c>
      <c r="B12" s="2121">
        <f>'Комплекты опт'!B12-'Полотна опт'!$B$2</f>
        <v>25636.775000000001</v>
      </c>
      <c r="C12" s="2122"/>
      <c r="D12" s="2121">
        <f>'Комплекты опт'!D12-'Полотна опт'!$D$2</f>
        <v>25764.875</v>
      </c>
      <c r="E12" s="2120">
        <f>'Комплекты опт'!E12-'Полотна опт'!$E$2</f>
        <v>26969.625</v>
      </c>
      <c r="F12" s="2121">
        <f>'Комплекты опт'!F12-'Полотна опт'!$F$2</f>
        <v>27747.375</v>
      </c>
      <c r="G12" s="2123">
        <f>'Комплекты опт'!G12-'Полотна опт'!$G$2</f>
        <v>28525.125</v>
      </c>
      <c r="H12" s="2254"/>
      <c r="I12" s="2249" t="s">
        <v>2021</v>
      </c>
      <c r="J12" s="2121">
        <v>24596.724999999999</v>
      </c>
      <c r="K12" s="2122"/>
      <c r="L12" s="2121">
        <v>24788.875</v>
      </c>
      <c r="M12" s="2120">
        <v>25932.625</v>
      </c>
      <c r="N12" s="2121">
        <v>26679.875</v>
      </c>
      <c r="O12" s="2123">
        <v>27419.5</v>
      </c>
      <c r="Q12" s="2249" t="s">
        <v>2021</v>
      </c>
      <c r="R12" s="2253">
        <f>B12/J12-1</f>
        <v>4.2284084568169344E-2</v>
      </c>
      <c r="S12" s="2253"/>
      <c r="T12" s="2253">
        <f t="shared" si="1"/>
        <v>3.9372500768994234E-2</v>
      </c>
      <c r="U12" s="2253">
        <f t="shared" si="1"/>
        <v>3.9988238753307925E-2</v>
      </c>
      <c r="V12" s="2253">
        <f t="shared" si="1"/>
        <v>4.0011431837667866E-2</v>
      </c>
      <c r="W12" s="2253">
        <f t="shared" si="1"/>
        <v>4.0322580645161255E-2</v>
      </c>
    </row>
    <row r="13" spans="1:30" ht="15.75" outlineLevel="1" thickBot="1">
      <c r="A13" s="2097" t="s">
        <v>2022</v>
      </c>
      <c r="B13" s="2121"/>
      <c r="C13" s="2122"/>
      <c r="D13" s="2121"/>
      <c r="E13" s="2120"/>
      <c r="F13" s="2121"/>
      <c r="G13" s="2123"/>
      <c r="H13" s="2254"/>
      <c r="I13" s="2097" t="s">
        <v>2022</v>
      </c>
      <c r="J13" s="2121"/>
      <c r="K13" s="2122"/>
      <c r="L13" s="2121"/>
      <c r="M13" s="2120"/>
      <c r="N13" s="2121"/>
      <c r="O13" s="2123"/>
      <c r="Q13" s="2097" t="s">
        <v>2022</v>
      </c>
      <c r="R13" s="2253"/>
      <c r="S13" s="2253"/>
      <c r="T13" s="2253"/>
      <c r="U13" s="2253"/>
      <c r="V13" s="2253"/>
      <c r="W13" s="2253"/>
    </row>
    <row r="14" spans="1:30" ht="15.75" outlineLevel="1" thickBot="1">
      <c r="A14" s="2095" t="s">
        <v>1975</v>
      </c>
      <c r="B14" s="2121">
        <f>'Комплекты опт'!B14-'Полотна опт'!$B$2</f>
        <v>12291.5</v>
      </c>
      <c r="C14" s="2122"/>
      <c r="D14" s="2121">
        <f>'Комплекты опт'!D14-'Полотна опт'!$D$2</f>
        <v>13554.2</v>
      </c>
      <c r="E14" s="2120">
        <f>'Комплекты опт'!E14-'Полотна опт'!$E$2</f>
        <v>14518</v>
      </c>
      <c r="F14" s="2121">
        <f>'Комплекты опт'!F14-'Полотна опт'!$F$2</f>
        <v>15140.2</v>
      </c>
      <c r="G14" s="2123">
        <f>'Комплекты опт'!G14-'Полотна опт'!$G$2</f>
        <v>15762.399999999998</v>
      </c>
      <c r="H14" s="2254"/>
      <c r="I14" s="2095" t="s">
        <v>1975</v>
      </c>
      <c r="J14" s="2121">
        <v>11657.099999999999</v>
      </c>
      <c r="K14" s="2122"/>
      <c r="L14" s="2121">
        <v>12883.2</v>
      </c>
      <c r="M14" s="2120">
        <v>13798.2</v>
      </c>
      <c r="N14" s="2121">
        <v>14396</v>
      </c>
      <c r="O14" s="2123">
        <v>14987.7</v>
      </c>
      <c r="Q14" s="2095" t="s">
        <v>1975</v>
      </c>
      <c r="R14" s="2253">
        <f t="shared" ref="R14:R27" si="2">B14/J14-1</f>
        <v>5.4421768707483054E-2</v>
      </c>
      <c r="S14" s="2253"/>
      <c r="T14" s="2253">
        <f t="shared" ref="T14:T23" si="3">D14/L14-1</f>
        <v>5.2083333333333259E-2</v>
      </c>
      <c r="U14" s="2253">
        <f t="shared" ref="U14:U23" si="4">E14/M14-1</f>
        <v>5.2166224580017628E-2</v>
      </c>
      <c r="V14" s="2253">
        <f t="shared" ref="V14:V23" si="5">F14/N14-1</f>
        <v>5.1694915254237417E-2</v>
      </c>
      <c r="W14" s="2253">
        <f t="shared" ref="W14:W23" si="6">G14/O14-1</f>
        <v>5.1689051689051579E-2</v>
      </c>
    </row>
    <row r="15" spans="1:30" ht="15.75" outlineLevel="1" thickBot="1">
      <c r="A15" s="2096" t="s">
        <v>2024</v>
      </c>
      <c r="B15" s="2121">
        <f>'Комплекты опт'!B15-'Полотна опт'!$B$2</f>
        <v>15158.5</v>
      </c>
      <c r="C15" s="2122"/>
      <c r="D15" s="2121">
        <f>'Комплекты опт'!D15-'Полотна опт'!$D$2</f>
        <v>16421.2</v>
      </c>
      <c r="E15" s="2120">
        <f>'Комплекты опт'!E15-'Полотна опт'!$E$2</f>
        <v>17385</v>
      </c>
      <c r="F15" s="2121">
        <f>'Комплекты опт'!F15-'Полотна опт'!$F$2</f>
        <v>18007.2</v>
      </c>
      <c r="G15" s="2123">
        <f>'Комплекты опт'!G15-'Полотна опт'!$G$2</f>
        <v>18629.399999999998</v>
      </c>
      <c r="H15" s="2254"/>
      <c r="I15" s="2249" t="s">
        <v>2024</v>
      </c>
      <c r="J15" s="2121">
        <v>14383.8</v>
      </c>
      <c r="K15" s="2122"/>
      <c r="L15" s="2121">
        <v>15609.899999999998</v>
      </c>
      <c r="M15" s="2120">
        <v>16524.899999999998</v>
      </c>
      <c r="N15" s="2121">
        <v>17122.7</v>
      </c>
      <c r="O15" s="2123">
        <v>17714.399999999998</v>
      </c>
      <c r="Q15" s="2249" t="s">
        <v>2024</v>
      </c>
      <c r="R15" s="2253">
        <f t="shared" si="2"/>
        <v>5.3859202714164667E-2</v>
      </c>
      <c r="S15" s="2253"/>
      <c r="T15" s="2253">
        <f t="shared" si="3"/>
        <v>5.1973427119968996E-2</v>
      </c>
      <c r="U15" s="2253">
        <f t="shared" si="4"/>
        <v>5.2048726467331274E-2</v>
      </c>
      <c r="V15" s="2253">
        <f t="shared" si="5"/>
        <v>5.1656572853580274E-2</v>
      </c>
      <c r="W15" s="2253">
        <f t="shared" si="6"/>
        <v>5.1652892561983466E-2</v>
      </c>
    </row>
    <row r="16" spans="1:30" ht="15.75" outlineLevel="1" thickBot="1">
      <c r="A16" s="2096" t="s">
        <v>1493</v>
      </c>
      <c r="B16" s="2121">
        <f>'Комплекты опт'!B16-'Полотна опт'!$B$2</f>
        <v>13481</v>
      </c>
      <c r="C16" s="2122"/>
      <c r="D16" s="2121">
        <f>'Комплекты опт'!D16-'Полотна опт'!$D$2</f>
        <v>14743.7</v>
      </c>
      <c r="E16" s="2120">
        <f>'Комплекты опт'!E16-'Полотна опт'!$E$2</f>
        <v>15707.5</v>
      </c>
      <c r="F16" s="2121">
        <f>'Комплекты опт'!F16-'Полотна опт'!$F$2</f>
        <v>16329.7</v>
      </c>
      <c r="G16" s="2123">
        <f>'Комплекты опт'!G16-'Полотна опт'!$G$2</f>
        <v>16951.899999999998</v>
      </c>
      <c r="H16" s="2254"/>
      <c r="I16" s="2249" t="s">
        <v>1493</v>
      </c>
      <c r="J16" s="2121">
        <v>12797.8</v>
      </c>
      <c r="K16" s="2122"/>
      <c r="L16" s="2121">
        <v>14023.899999999998</v>
      </c>
      <c r="M16" s="2120">
        <v>14938.899999999998</v>
      </c>
      <c r="N16" s="2121">
        <v>15536.7</v>
      </c>
      <c r="O16" s="2123">
        <v>16128.399999999998</v>
      </c>
      <c r="Q16" s="2249" t="s">
        <v>1493</v>
      </c>
      <c r="R16" s="2253">
        <f t="shared" si="2"/>
        <v>5.3384175405147838E-2</v>
      </c>
      <c r="S16" s="2253"/>
      <c r="T16" s="2253">
        <f t="shared" si="3"/>
        <v>5.1326663766855463E-2</v>
      </c>
      <c r="U16" s="2253">
        <f t="shared" si="4"/>
        <v>5.1449571253572968E-2</v>
      </c>
      <c r="V16" s="2253">
        <f t="shared" si="5"/>
        <v>5.1040439733019305E-2</v>
      </c>
      <c r="W16" s="2253">
        <f t="shared" si="6"/>
        <v>5.1059001512859359E-2</v>
      </c>
    </row>
    <row r="17" spans="1:23" ht="15.75" outlineLevel="1" thickBot="1">
      <c r="A17" s="2097" t="s">
        <v>2025</v>
      </c>
      <c r="B17" s="2121">
        <f>'Комплекты опт'!B17-'Полотна опт'!$B$2</f>
        <v>16165</v>
      </c>
      <c r="C17" s="2122"/>
      <c r="D17" s="2121">
        <f>'Комплекты опт'!D17-'Полотна опт'!$D$2</f>
        <v>17427.7</v>
      </c>
      <c r="E17" s="2120">
        <f>'Комплекты опт'!E17-'Полотна опт'!$E$2</f>
        <v>18391.5</v>
      </c>
      <c r="F17" s="2121">
        <f>'Комплекты опт'!F17-'Полотна опт'!$F$2</f>
        <v>19013.7</v>
      </c>
      <c r="G17" s="2123">
        <f>'Комплекты опт'!G17-'Полотна опт'!$G$2</f>
        <v>19635.899999999998</v>
      </c>
      <c r="H17" s="2254"/>
      <c r="I17" s="2097" t="s">
        <v>2025</v>
      </c>
      <c r="J17" s="2121">
        <v>15335.399999999998</v>
      </c>
      <c r="K17" s="2122"/>
      <c r="L17" s="2121">
        <v>16561.5</v>
      </c>
      <c r="M17" s="2120">
        <v>17476.5</v>
      </c>
      <c r="N17" s="2121">
        <v>18074.3</v>
      </c>
      <c r="O17" s="2123">
        <v>18666</v>
      </c>
      <c r="Q17" s="2097" t="s">
        <v>2025</v>
      </c>
      <c r="R17" s="2253">
        <f t="shared" si="2"/>
        <v>5.4097056483691563E-2</v>
      </c>
      <c r="S17" s="2253"/>
      <c r="T17" s="2253">
        <f t="shared" si="3"/>
        <v>5.2302025782688721E-2</v>
      </c>
      <c r="U17" s="2253">
        <f t="shared" si="4"/>
        <v>5.2356020942408321E-2</v>
      </c>
      <c r="V17" s="2253">
        <f t="shared" si="5"/>
        <v>5.1974350320621143E-2</v>
      </c>
      <c r="W17" s="2253">
        <f t="shared" si="6"/>
        <v>5.1960784313725306E-2</v>
      </c>
    </row>
    <row r="18" spans="1:23" ht="15.75" outlineLevel="1" thickBot="1">
      <c r="A18" s="2098" t="s">
        <v>1979</v>
      </c>
      <c r="B18" s="2121">
        <f>'Комплекты опт'!B18-'Полотна опт'!$B$2</f>
        <v>14823</v>
      </c>
      <c r="C18" s="2122"/>
      <c r="D18" s="2121">
        <f>'Комплекты опт'!D18-'Полотна опт'!$D$2</f>
        <v>16226</v>
      </c>
      <c r="E18" s="2120">
        <f>'Комплекты опт'!E18-'Полотна опт'!$E$2</f>
        <v>17446</v>
      </c>
      <c r="F18" s="2121">
        <f>'Комплекты опт'!F18-'Полотна опт'!$F$2</f>
        <v>18232.899999999998</v>
      </c>
      <c r="G18" s="2123">
        <f>'Комплекты опт'!G18-'Полотна опт'!$G$2</f>
        <v>19019.8</v>
      </c>
      <c r="H18" s="2254"/>
      <c r="I18" s="2098" t="s">
        <v>1979</v>
      </c>
      <c r="J18" s="2121">
        <v>14091</v>
      </c>
      <c r="K18" s="2122"/>
      <c r="L18" s="2121">
        <v>15445.2</v>
      </c>
      <c r="M18" s="2120">
        <v>16604.2</v>
      </c>
      <c r="N18" s="2121">
        <v>17354.5</v>
      </c>
      <c r="O18" s="2123">
        <v>18098.7</v>
      </c>
      <c r="Q18" s="2098" t="s">
        <v>1979</v>
      </c>
      <c r="R18" s="2253">
        <f t="shared" si="2"/>
        <v>5.1948051948051965E-2</v>
      </c>
      <c r="S18" s="2253"/>
      <c r="T18" s="2253">
        <f t="shared" si="3"/>
        <v>5.0552922590837213E-2</v>
      </c>
      <c r="U18" s="2253">
        <f t="shared" si="4"/>
        <v>5.0698016164584914E-2</v>
      </c>
      <c r="V18" s="2253">
        <f t="shared" si="5"/>
        <v>5.0615114235500691E-2</v>
      </c>
      <c r="W18" s="2253">
        <f t="shared" si="6"/>
        <v>5.0893158072126576E-2</v>
      </c>
    </row>
    <row r="19" spans="1:23" ht="15.75" outlineLevel="1" thickBot="1">
      <c r="A19" s="2099" t="s">
        <v>1980</v>
      </c>
      <c r="B19" s="2121">
        <f>'Комплекты опт'!B19-'Полотна опт'!$B$2</f>
        <v>14823</v>
      </c>
      <c r="C19" s="2122"/>
      <c r="D19" s="2121">
        <f>'Комплекты опт'!D19-'Полотна опт'!$D$2</f>
        <v>16226</v>
      </c>
      <c r="E19" s="2120">
        <f>'Комплекты опт'!E19-'Полотна опт'!$E$2</f>
        <v>17446</v>
      </c>
      <c r="F19" s="2121">
        <f>'Комплекты опт'!F19-'Полотна опт'!$F$2</f>
        <v>18232.899999999998</v>
      </c>
      <c r="G19" s="2123">
        <f>'Комплекты опт'!G19-'Полотна опт'!$G$2</f>
        <v>19019.8</v>
      </c>
      <c r="H19" s="2254"/>
      <c r="I19" s="2250" t="s">
        <v>1980</v>
      </c>
      <c r="J19" s="2121">
        <v>14091</v>
      </c>
      <c r="K19" s="2122"/>
      <c r="L19" s="2121">
        <v>15445.2</v>
      </c>
      <c r="M19" s="2120">
        <v>16604.2</v>
      </c>
      <c r="N19" s="2121">
        <v>17354.5</v>
      </c>
      <c r="O19" s="2123">
        <v>18098.7</v>
      </c>
      <c r="Q19" s="2250" t="s">
        <v>1980</v>
      </c>
      <c r="R19" s="2253">
        <f t="shared" si="2"/>
        <v>5.1948051948051965E-2</v>
      </c>
      <c r="S19" s="2253"/>
      <c r="T19" s="2253">
        <f t="shared" si="3"/>
        <v>5.0552922590837213E-2</v>
      </c>
      <c r="U19" s="2253">
        <f t="shared" si="4"/>
        <v>5.0698016164584914E-2</v>
      </c>
      <c r="V19" s="2253">
        <f t="shared" si="5"/>
        <v>5.0615114235500691E-2</v>
      </c>
      <c r="W19" s="2253">
        <f t="shared" si="6"/>
        <v>5.0893158072126576E-2</v>
      </c>
    </row>
    <row r="20" spans="1:23" ht="15.75" outlineLevel="1" thickBot="1">
      <c r="A20" s="2099" t="s">
        <v>1981</v>
      </c>
      <c r="B20" s="2121">
        <f>'Комплекты опт'!B20-'Полотна опт'!$B$2</f>
        <v>14823</v>
      </c>
      <c r="C20" s="2122"/>
      <c r="D20" s="2121">
        <f>'Комплекты опт'!D20-'Полотна опт'!$D$2</f>
        <v>16226</v>
      </c>
      <c r="E20" s="2120">
        <f>'Комплекты опт'!E20-'Полотна опт'!$E$2</f>
        <v>17446</v>
      </c>
      <c r="F20" s="2121">
        <f>'Комплекты опт'!F20-'Полотна опт'!$F$2</f>
        <v>18232.899999999998</v>
      </c>
      <c r="G20" s="2123">
        <f>'Комплекты опт'!G20-'Полотна опт'!$G$2</f>
        <v>19019.8</v>
      </c>
      <c r="H20" s="2254"/>
      <c r="I20" s="2250" t="s">
        <v>1981</v>
      </c>
      <c r="J20" s="2121">
        <v>14091</v>
      </c>
      <c r="K20" s="2122"/>
      <c r="L20" s="2121">
        <v>15445.2</v>
      </c>
      <c r="M20" s="2120">
        <v>16604.2</v>
      </c>
      <c r="N20" s="2121">
        <v>17354.5</v>
      </c>
      <c r="O20" s="2123">
        <v>18098.7</v>
      </c>
      <c r="Q20" s="2250" t="s">
        <v>1981</v>
      </c>
      <c r="R20" s="2253">
        <f t="shared" si="2"/>
        <v>5.1948051948051965E-2</v>
      </c>
      <c r="S20" s="2253"/>
      <c r="T20" s="2253">
        <f t="shared" si="3"/>
        <v>5.0552922590837213E-2</v>
      </c>
      <c r="U20" s="2253">
        <f t="shared" si="4"/>
        <v>5.0698016164584914E-2</v>
      </c>
      <c r="V20" s="2253">
        <f t="shared" si="5"/>
        <v>5.0615114235500691E-2</v>
      </c>
      <c r="W20" s="2253">
        <f t="shared" si="6"/>
        <v>5.0893158072126576E-2</v>
      </c>
    </row>
    <row r="21" spans="1:23" ht="15.75" outlineLevel="1" thickBot="1">
      <c r="A21" s="2099" t="s">
        <v>1982</v>
      </c>
      <c r="B21" s="2121">
        <f>'Комплекты опт'!B21-'Полотна опт'!$B$2</f>
        <v>14823</v>
      </c>
      <c r="C21" s="2122"/>
      <c r="D21" s="2121">
        <f>'Комплекты опт'!D21-'Полотна опт'!$D$2</f>
        <v>16226</v>
      </c>
      <c r="E21" s="2120">
        <f>'Комплекты опт'!E21-'Полотна опт'!$E$2</f>
        <v>17446</v>
      </c>
      <c r="F21" s="2121">
        <f>'Комплекты опт'!F21-'Полотна опт'!$F$2</f>
        <v>18232.899999999998</v>
      </c>
      <c r="G21" s="2123">
        <f>'Комплекты опт'!G21-'Полотна опт'!$G$2</f>
        <v>19019.8</v>
      </c>
      <c r="H21" s="2254"/>
      <c r="I21" s="2250" t="s">
        <v>1982</v>
      </c>
      <c r="J21" s="2121">
        <v>14091</v>
      </c>
      <c r="K21" s="2122"/>
      <c r="L21" s="2121">
        <v>15445.2</v>
      </c>
      <c r="M21" s="2120">
        <v>16604.2</v>
      </c>
      <c r="N21" s="2121">
        <v>17354.5</v>
      </c>
      <c r="O21" s="2123">
        <v>18098.7</v>
      </c>
      <c r="Q21" s="2250" t="s">
        <v>1982</v>
      </c>
      <c r="R21" s="2253">
        <f t="shared" si="2"/>
        <v>5.1948051948051965E-2</v>
      </c>
      <c r="S21" s="2253"/>
      <c r="T21" s="2253">
        <f t="shared" si="3"/>
        <v>5.0552922590837213E-2</v>
      </c>
      <c r="U21" s="2253">
        <f t="shared" si="4"/>
        <v>5.0698016164584914E-2</v>
      </c>
      <c r="V21" s="2253">
        <f t="shared" si="5"/>
        <v>5.0615114235500691E-2</v>
      </c>
      <c r="W21" s="2253">
        <f t="shared" si="6"/>
        <v>5.0893158072126576E-2</v>
      </c>
    </row>
    <row r="22" spans="1:23" ht="15.75" outlineLevel="1" thickBot="1">
      <c r="A22" s="2099" t="s">
        <v>229</v>
      </c>
      <c r="B22" s="2121">
        <f>'Комплекты опт'!B22-'Полотна опт'!$B$2</f>
        <v>14823</v>
      </c>
      <c r="C22" s="2122"/>
      <c r="D22" s="2121">
        <f>'Комплекты опт'!D22-'Полотна опт'!$D$2</f>
        <v>16226</v>
      </c>
      <c r="E22" s="2120">
        <f>'Комплекты опт'!E22-'Полотна опт'!$E$2</f>
        <v>17446</v>
      </c>
      <c r="F22" s="2121">
        <f>'Комплекты опт'!F22-'Полотна опт'!$F$2</f>
        <v>18232.899999999998</v>
      </c>
      <c r="G22" s="2123">
        <f>'Комплекты опт'!G22-'Полотна опт'!$G$2</f>
        <v>19019.8</v>
      </c>
      <c r="H22" s="2254"/>
      <c r="I22" s="2250" t="s">
        <v>229</v>
      </c>
      <c r="J22" s="2121">
        <v>14091</v>
      </c>
      <c r="K22" s="2122"/>
      <c r="L22" s="2121">
        <v>15445.2</v>
      </c>
      <c r="M22" s="2120">
        <v>16604.2</v>
      </c>
      <c r="N22" s="2121">
        <v>17354.5</v>
      </c>
      <c r="O22" s="2123">
        <v>18098.7</v>
      </c>
      <c r="Q22" s="2250" t="s">
        <v>229</v>
      </c>
      <c r="R22" s="2253">
        <f t="shared" si="2"/>
        <v>5.1948051948051965E-2</v>
      </c>
      <c r="S22" s="2253"/>
      <c r="T22" s="2253">
        <f t="shared" si="3"/>
        <v>5.0552922590837213E-2</v>
      </c>
      <c r="U22" s="2253">
        <f t="shared" si="4"/>
        <v>5.0698016164584914E-2</v>
      </c>
      <c r="V22" s="2253">
        <f t="shared" si="5"/>
        <v>5.0615114235500691E-2</v>
      </c>
      <c r="W22" s="2253">
        <f t="shared" si="6"/>
        <v>5.0893158072126576E-2</v>
      </c>
    </row>
    <row r="23" spans="1:23" ht="15.75" outlineLevel="1" thickBot="1">
      <c r="A23" s="2100" t="s">
        <v>2023</v>
      </c>
      <c r="B23" s="2121">
        <f>'Комплекты опт'!B23-'Полотна опт'!$B$2</f>
        <v>27175.5</v>
      </c>
      <c r="C23" s="2122"/>
      <c r="D23" s="2121">
        <f>'Комплекты опт'!D23-'Полотна опт'!$D$2</f>
        <v>27175.5</v>
      </c>
      <c r="E23" s="2120">
        <f>'Комплекты опт'!E23-'Полотна опт'!$E$2</f>
        <v>27175.5</v>
      </c>
      <c r="F23" s="2121">
        <f>'Комплекты опт'!F23-'Полотна опт'!$F$2</f>
        <v>27175.5</v>
      </c>
      <c r="G23" s="2123">
        <f>'Комплекты опт'!G23-'Полотна опт'!$G$2</f>
        <v>27175.5</v>
      </c>
      <c r="H23" s="2254"/>
      <c r="I23" s="2100" t="s">
        <v>2023</v>
      </c>
      <c r="J23" s="2121">
        <v>25778.6</v>
      </c>
      <c r="K23" s="2122"/>
      <c r="L23" s="2121">
        <v>25778.6</v>
      </c>
      <c r="M23" s="2120">
        <v>25778.6</v>
      </c>
      <c r="N23" s="2121">
        <v>25778.6</v>
      </c>
      <c r="O23" s="2123">
        <v>25778.6</v>
      </c>
      <c r="Q23" s="2100" t="s">
        <v>2023</v>
      </c>
      <c r="R23" s="2253">
        <f t="shared" si="2"/>
        <v>5.418835778513964E-2</v>
      </c>
      <c r="S23" s="2253"/>
      <c r="T23" s="2253">
        <f t="shared" si="3"/>
        <v>5.418835778513964E-2</v>
      </c>
      <c r="U23" s="2253">
        <f t="shared" si="4"/>
        <v>5.418835778513964E-2</v>
      </c>
      <c r="V23" s="2253">
        <f t="shared" si="5"/>
        <v>5.418835778513964E-2</v>
      </c>
      <c r="W23" s="2253">
        <f t="shared" si="6"/>
        <v>5.418835778513964E-2</v>
      </c>
    </row>
    <row r="24" spans="1:23" ht="15.75" outlineLevel="1" thickBot="1">
      <c r="A24" s="2098" t="s">
        <v>903</v>
      </c>
      <c r="B24" s="2121">
        <f>'Комплекты опт'!B24-'Полотна опт'!$B$2</f>
        <v>12352.5</v>
      </c>
      <c r="C24" s="2121">
        <f>'Комплекты опт'!C24-'Полотна опт'!$B$2</f>
        <v>16653</v>
      </c>
      <c r="D24" s="2121"/>
      <c r="E24" s="2120"/>
      <c r="F24" s="2121"/>
      <c r="G24" s="2123"/>
      <c r="I24" s="2098" t="s">
        <v>903</v>
      </c>
      <c r="J24" s="2121">
        <v>11742.5</v>
      </c>
      <c r="K24" s="2121">
        <v>15860</v>
      </c>
      <c r="L24" s="2121"/>
      <c r="M24" s="2120"/>
      <c r="N24" s="2121"/>
      <c r="O24" s="2123"/>
      <c r="Q24" s="2098" t="s">
        <v>903</v>
      </c>
      <c r="R24" s="2253">
        <f t="shared" si="2"/>
        <v>5.1948051948051965E-2</v>
      </c>
      <c r="S24" s="2253">
        <f>C24/K24-1</f>
        <v>5.0000000000000044E-2</v>
      </c>
      <c r="T24" s="2253"/>
      <c r="U24" s="2253"/>
      <c r="V24" s="2253"/>
      <c r="W24" s="2253"/>
    </row>
    <row r="25" spans="1:23" ht="15.75" outlineLevel="1" thickBot="1">
      <c r="A25" s="2099" t="s">
        <v>904</v>
      </c>
      <c r="B25" s="2121">
        <f>'Комплекты опт'!B25-'Полотна опт'!$B$2</f>
        <v>12352.5</v>
      </c>
      <c r="C25" s="2121">
        <f>'Комплекты опт'!C25-'Полотна опт'!$B$2</f>
        <v>16653</v>
      </c>
      <c r="D25" s="2121"/>
      <c r="E25" s="2120"/>
      <c r="F25" s="2121"/>
      <c r="G25" s="2123"/>
      <c r="I25" s="2250" t="s">
        <v>904</v>
      </c>
      <c r="J25" s="2121">
        <v>11742.5</v>
      </c>
      <c r="K25" s="2121">
        <v>15860</v>
      </c>
      <c r="L25" s="2121"/>
      <c r="M25" s="2120"/>
      <c r="N25" s="2121"/>
      <c r="O25" s="2123"/>
      <c r="Q25" s="2250" t="s">
        <v>904</v>
      </c>
      <c r="R25" s="2253">
        <f t="shared" si="2"/>
        <v>5.1948051948051965E-2</v>
      </c>
      <c r="S25" s="2253">
        <f>C25/K25-1</f>
        <v>5.0000000000000044E-2</v>
      </c>
      <c r="T25" s="2253"/>
      <c r="U25" s="2253"/>
      <c r="V25" s="2253"/>
      <c r="W25" s="2253"/>
    </row>
    <row r="26" spans="1:23" ht="15.75" outlineLevel="1" thickBot="1">
      <c r="A26" s="2099" t="s">
        <v>1983</v>
      </c>
      <c r="B26" s="2121">
        <f>'Комплекты опт'!B26-'Полотна опт'!$B$2</f>
        <v>12352.5</v>
      </c>
      <c r="C26" s="2121">
        <f>'Комплекты опт'!C26-'Полотна опт'!$B$2</f>
        <v>16653</v>
      </c>
      <c r="D26" s="2121"/>
      <c r="E26" s="2120"/>
      <c r="F26" s="2121"/>
      <c r="G26" s="2123"/>
      <c r="I26" s="2250" t="s">
        <v>1983</v>
      </c>
      <c r="J26" s="2121">
        <v>11742.5</v>
      </c>
      <c r="K26" s="2121">
        <v>15860</v>
      </c>
      <c r="L26" s="2121"/>
      <c r="M26" s="2120"/>
      <c r="N26" s="2121"/>
      <c r="O26" s="2123"/>
      <c r="Q26" s="2250" t="s">
        <v>1983</v>
      </c>
      <c r="R26" s="2253">
        <f t="shared" si="2"/>
        <v>5.1948051948051965E-2</v>
      </c>
      <c r="S26" s="2253">
        <f>C26/K26-1</f>
        <v>5.0000000000000044E-2</v>
      </c>
      <c r="T26" s="2253"/>
      <c r="U26" s="2253"/>
      <c r="V26" s="2253"/>
      <c r="W26" s="2253"/>
    </row>
    <row r="27" spans="1:23" ht="15.75" outlineLevel="1" thickBot="1">
      <c r="A27" s="2100" t="s">
        <v>1558</v>
      </c>
      <c r="B27" s="2121">
        <f>'Комплекты опт'!B27-'Полотна опт'!$B$2</f>
        <v>14152</v>
      </c>
      <c r="C27" s="2122"/>
      <c r="D27" s="2121"/>
      <c r="E27" s="2120"/>
      <c r="F27" s="2121"/>
      <c r="G27" s="2123"/>
      <c r="I27" s="2100" t="s">
        <v>1558</v>
      </c>
      <c r="J27" s="2121">
        <v>13450.5</v>
      </c>
      <c r="K27" s="2140"/>
      <c r="L27" s="2121"/>
      <c r="M27" s="2120"/>
      <c r="N27" s="2121"/>
      <c r="O27" s="2123"/>
      <c r="Q27" s="2100" t="s">
        <v>1558</v>
      </c>
      <c r="R27" s="2253">
        <f t="shared" si="2"/>
        <v>5.2154195011337778E-2</v>
      </c>
      <c r="S27" s="2253"/>
      <c r="T27" s="2253"/>
      <c r="U27" s="2253"/>
      <c r="V27" s="2253"/>
      <c r="W27" s="2253"/>
    </row>
    <row r="28" spans="1:23" ht="15.75" outlineLevel="1" thickBot="1">
      <c r="A28" s="2095" t="s">
        <v>896</v>
      </c>
      <c r="B28" s="2121">
        <f>'Комплекты опт'!B28-'Полотна опт'!$B$2</f>
        <v>-8265.5</v>
      </c>
      <c r="C28" s="2122"/>
      <c r="D28" s="2121">
        <f>'Комплекты опт'!D28-'Полотна опт'!$D$2</f>
        <v>13535.899999999998</v>
      </c>
      <c r="E28" s="2120">
        <f>'Комплекты опт'!E28-'Полотна опт'!$E$2</f>
        <v>14548.5</v>
      </c>
      <c r="F28" s="2121"/>
      <c r="G28" s="2123">
        <f>'Комплекты опт'!G28-'Полотна опт'!$G$2</f>
        <v>15860</v>
      </c>
      <c r="I28" s="2095" t="s">
        <v>896</v>
      </c>
      <c r="J28" s="2121">
        <v>-7884.25</v>
      </c>
      <c r="K28" s="2143"/>
      <c r="L28" s="2121">
        <v>12883.2</v>
      </c>
      <c r="M28" s="2120">
        <v>13847</v>
      </c>
      <c r="N28" s="2121"/>
      <c r="O28" s="2123">
        <v>15097.5</v>
      </c>
      <c r="Q28" s="2095" t="s">
        <v>896</v>
      </c>
      <c r="R28" s="2253"/>
      <c r="S28" s="2253"/>
      <c r="T28" s="2253">
        <f t="shared" ref="T28:U32" si="7">D28/L28-1</f>
        <v>5.0662878787878451E-2</v>
      </c>
      <c r="U28" s="2253">
        <f t="shared" si="7"/>
        <v>5.0660792951541911E-2</v>
      </c>
      <c r="V28" s="2253"/>
      <c r="W28" s="2253">
        <f>G28/O28-1</f>
        <v>5.0505050505050608E-2</v>
      </c>
    </row>
    <row r="29" spans="1:23" ht="15.75" outlineLevel="1" thickBot="1">
      <c r="A29" s="2099" t="s">
        <v>893</v>
      </c>
      <c r="B29" s="2121">
        <f>'Комплекты опт'!B29-'Полотна опт'!$B$2</f>
        <v>15707.5</v>
      </c>
      <c r="C29" s="2122"/>
      <c r="D29" s="2121">
        <f>'Комплекты опт'!D29-'Полотна опт'!$D$2</f>
        <v>17226.399999999998</v>
      </c>
      <c r="E29" s="2120">
        <f>'Комплекты опт'!E29-'Полотна опт'!$E$2</f>
        <v>18239</v>
      </c>
      <c r="F29" s="2121"/>
      <c r="G29" s="2123">
        <f>'Комплекты опт'!G29-'Полотна опт'!$G$2</f>
        <v>19550.5</v>
      </c>
      <c r="I29" s="2250" t="s">
        <v>893</v>
      </c>
      <c r="J29" s="2121">
        <v>14945</v>
      </c>
      <c r="K29" s="2145"/>
      <c r="L29" s="2121">
        <v>16372.399999999998</v>
      </c>
      <c r="M29" s="2120">
        <v>17336.2</v>
      </c>
      <c r="N29" s="2121"/>
      <c r="O29" s="2123">
        <v>18586.7</v>
      </c>
      <c r="Q29" s="2250" t="s">
        <v>893</v>
      </c>
      <c r="R29" s="2253">
        <f>B29/J29-1</f>
        <v>5.1020408163265252E-2</v>
      </c>
      <c r="S29" s="2253"/>
      <c r="T29" s="2253">
        <f t="shared" si="7"/>
        <v>5.216095380029806E-2</v>
      </c>
      <c r="U29" s="2253">
        <f t="shared" si="7"/>
        <v>5.2076002814918976E-2</v>
      </c>
      <c r="V29" s="2253"/>
      <c r="W29" s="2253">
        <f>G29/O29-1</f>
        <v>5.1854282901214299E-2</v>
      </c>
    </row>
    <row r="30" spans="1:23" ht="15.75" outlineLevel="1" thickBot="1">
      <c r="A30" s="2099" t="s">
        <v>894</v>
      </c>
      <c r="B30" s="2121">
        <f>'Комплекты опт'!B30-'Полотна опт'!$B$2</f>
        <v>-8265.5</v>
      </c>
      <c r="C30" s="2122"/>
      <c r="D30" s="2121">
        <f>'Комплекты опт'!D30-'Полотна опт'!$D$2</f>
        <v>15707.5</v>
      </c>
      <c r="E30" s="2120">
        <f>'Комплекты опт'!E30-'Полотна опт'!$E$2</f>
        <v>14548.5</v>
      </c>
      <c r="F30" s="2121"/>
      <c r="G30" s="2123">
        <f>'Комплекты опт'!G30-'Полотна опт'!$G$2</f>
        <v>18293.899999999998</v>
      </c>
      <c r="I30" s="2250" t="s">
        <v>894</v>
      </c>
      <c r="J30" s="2121">
        <v>-7884.25</v>
      </c>
      <c r="K30" s="2145"/>
      <c r="L30" s="2121">
        <v>14932.8</v>
      </c>
      <c r="M30" s="2120">
        <v>13847</v>
      </c>
      <c r="N30" s="2121"/>
      <c r="O30" s="2123">
        <v>17391.099999999999</v>
      </c>
      <c r="Q30" s="2250" t="s">
        <v>894</v>
      </c>
      <c r="R30" s="2253"/>
      <c r="S30" s="2253"/>
      <c r="T30" s="2253">
        <f t="shared" si="7"/>
        <v>5.1879084967320299E-2</v>
      </c>
      <c r="U30" s="2253">
        <f t="shared" si="7"/>
        <v>5.0660792951541911E-2</v>
      </c>
      <c r="V30" s="2253"/>
      <c r="W30" s="2253">
        <f>G30/O30-1</f>
        <v>5.1911609961416971E-2</v>
      </c>
    </row>
    <row r="31" spans="1:23" ht="15.75" outlineLevel="1" thickBot="1">
      <c r="A31" s="2099" t="s">
        <v>895</v>
      </c>
      <c r="B31" s="2121">
        <f>'Комплекты опт'!B31-'Полотна опт'!$B$2</f>
        <v>-8265.5</v>
      </c>
      <c r="C31" s="2122"/>
      <c r="D31" s="2121">
        <f>'Комплекты опт'!D31-'Полотна опт'!$D$2</f>
        <v>15707.5</v>
      </c>
      <c r="E31" s="2120">
        <f>'Комплекты опт'!E31-'Полотна опт'!$E$2</f>
        <v>14548.5</v>
      </c>
      <c r="F31" s="2121"/>
      <c r="G31" s="2123">
        <f>'Комплекты опт'!G31-'Полотна опт'!$G$2</f>
        <v>18293.899999999998</v>
      </c>
      <c r="I31" s="2250" t="s">
        <v>895</v>
      </c>
      <c r="J31" s="2121">
        <v>-7884.25</v>
      </c>
      <c r="K31" s="2145"/>
      <c r="L31" s="2121">
        <v>14932.8</v>
      </c>
      <c r="M31" s="2120">
        <v>13847</v>
      </c>
      <c r="N31" s="2121"/>
      <c r="O31" s="2123">
        <v>17391.099999999999</v>
      </c>
      <c r="Q31" s="2250" t="s">
        <v>895</v>
      </c>
      <c r="R31" s="2253"/>
      <c r="S31" s="2253"/>
      <c r="T31" s="2253">
        <f t="shared" si="7"/>
        <v>5.1879084967320299E-2</v>
      </c>
      <c r="U31" s="2253">
        <f t="shared" si="7"/>
        <v>5.0660792951541911E-2</v>
      </c>
      <c r="V31" s="2253"/>
      <c r="W31" s="2253">
        <f>G31/O31-1</f>
        <v>5.1911609961416971E-2</v>
      </c>
    </row>
    <row r="32" spans="1:23" ht="15.75" outlineLevel="1" thickBot="1">
      <c r="A32" s="2101" t="s">
        <v>902</v>
      </c>
      <c r="B32" s="2121">
        <f>'Комплекты опт'!B32-'Полотна опт'!$B$2</f>
        <v>17385</v>
      </c>
      <c r="C32" s="2122"/>
      <c r="D32" s="2121">
        <f>'Комплекты опт'!D32-'Полотна опт'!$D$2</f>
        <v>17476.5</v>
      </c>
      <c r="E32" s="2120">
        <f>'Комплекты опт'!E32-'Полотна опт'!$E$2</f>
        <v>18788</v>
      </c>
      <c r="F32" s="2121"/>
      <c r="G32" s="2123">
        <f>'Комплекты опт'!G32-'Полотна опт'!$G$2</f>
        <v>20483.8</v>
      </c>
      <c r="I32" s="2101" t="s">
        <v>902</v>
      </c>
      <c r="J32" s="2121">
        <v>16531</v>
      </c>
      <c r="K32" s="2146"/>
      <c r="L32" s="2121">
        <v>16622.5</v>
      </c>
      <c r="M32" s="2120">
        <v>17873</v>
      </c>
      <c r="N32" s="2121"/>
      <c r="O32" s="2123">
        <v>19483.399999999998</v>
      </c>
      <c r="Q32" s="2101" t="s">
        <v>902</v>
      </c>
      <c r="R32" s="2253">
        <f t="shared" ref="R32:R47" si="8">B32/J32-1</f>
        <v>5.1660516605166018E-2</v>
      </c>
      <c r="S32" s="2253"/>
      <c r="T32" s="2253">
        <f t="shared" si="7"/>
        <v>5.1376146788990829E-2</v>
      </c>
      <c r="U32" s="2253">
        <f t="shared" si="7"/>
        <v>5.1194539249146853E-2</v>
      </c>
      <c r="V32" s="2253"/>
      <c r="W32" s="2253">
        <f>G32/O32-1</f>
        <v>5.134627426424565E-2</v>
      </c>
    </row>
    <row r="33" spans="1:23" ht="15.75" outlineLevel="1" thickBot="1">
      <c r="A33" s="2102" t="s">
        <v>1984</v>
      </c>
      <c r="B33" s="2121">
        <f>'Комплекты опт'!B33-'Полотна опт'!$B$2</f>
        <v>12230.5</v>
      </c>
      <c r="C33" s="2121">
        <f>'Комплекты опт'!C33-'Полотна опт'!$B$2</f>
        <v>16653</v>
      </c>
      <c r="D33" s="2121"/>
      <c r="E33" s="2120"/>
      <c r="F33" s="2121"/>
      <c r="G33" s="2123"/>
      <c r="I33" s="2102" t="s">
        <v>1984</v>
      </c>
      <c r="J33" s="2121">
        <v>11620.5</v>
      </c>
      <c r="K33" s="2121">
        <v>15860</v>
      </c>
      <c r="L33" s="2121"/>
      <c r="M33" s="2120"/>
      <c r="N33" s="2121"/>
      <c r="O33" s="2123"/>
      <c r="Q33" s="2102" t="s">
        <v>1984</v>
      </c>
      <c r="R33" s="2253">
        <f t="shared" si="8"/>
        <v>5.2493438320210029E-2</v>
      </c>
      <c r="S33" s="2253">
        <f t="shared" ref="S33:S40" si="9">C33/K33-1</f>
        <v>5.0000000000000044E-2</v>
      </c>
      <c r="T33" s="2253"/>
      <c r="U33" s="2253"/>
      <c r="V33" s="2253"/>
      <c r="W33" s="2253"/>
    </row>
    <row r="34" spans="1:23" ht="15.75" outlineLevel="1" thickBot="1">
      <c r="A34" s="2103" t="s">
        <v>1714</v>
      </c>
      <c r="B34" s="2121">
        <f>'Комплекты опт'!B34-'Полотна опт'!$B$2</f>
        <v>12230.5</v>
      </c>
      <c r="C34" s="2121">
        <f>'Комплекты опт'!C34-'Полотна опт'!$B$2</f>
        <v>16653</v>
      </c>
      <c r="D34" s="2121"/>
      <c r="E34" s="2120"/>
      <c r="F34" s="2121"/>
      <c r="G34" s="2123"/>
      <c r="I34" s="2251" t="s">
        <v>1714</v>
      </c>
      <c r="J34" s="2121">
        <v>11620.5</v>
      </c>
      <c r="K34" s="2121">
        <v>15860</v>
      </c>
      <c r="L34" s="2121"/>
      <c r="M34" s="2120"/>
      <c r="N34" s="2121"/>
      <c r="O34" s="2123"/>
      <c r="Q34" s="2251" t="s">
        <v>1714</v>
      </c>
      <c r="R34" s="2253">
        <f t="shared" si="8"/>
        <v>5.2493438320210029E-2</v>
      </c>
      <c r="S34" s="2253">
        <f t="shared" si="9"/>
        <v>5.0000000000000044E-2</v>
      </c>
      <c r="T34" s="2253"/>
      <c r="U34" s="2253"/>
      <c r="V34" s="2253"/>
      <c r="W34" s="2253"/>
    </row>
    <row r="35" spans="1:23" ht="15.75" outlineLevel="1" thickBot="1">
      <c r="A35" s="2103" t="s">
        <v>2010</v>
      </c>
      <c r="B35" s="2121">
        <f>'Комплекты опт'!B35-'Полотна опт'!$B$2</f>
        <v>12230.5</v>
      </c>
      <c r="C35" s="2121">
        <f>'Комплекты опт'!C35-'Полотна опт'!$B$2</f>
        <v>16653</v>
      </c>
      <c r="D35" s="2121"/>
      <c r="E35" s="2120"/>
      <c r="F35" s="2121"/>
      <c r="G35" s="2123"/>
      <c r="I35" s="2251" t="s">
        <v>2010</v>
      </c>
      <c r="J35" s="2121">
        <v>11620.5</v>
      </c>
      <c r="K35" s="2121">
        <v>15860</v>
      </c>
      <c r="L35" s="2121"/>
      <c r="M35" s="2120"/>
      <c r="N35" s="2121"/>
      <c r="O35" s="2123"/>
      <c r="Q35" s="2251" t="s">
        <v>2010</v>
      </c>
      <c r="R35" s="2253">
        <f t="shared" si="8"/>
        <v>5.2493438320210029E-2</v>
      </c>
      <c r="S35" s="2253">
        <f t="shared" si="9"/>
        <v>5.0000000000000044E-2</v>
      </c>
      <c r="T35" s="2253"/>
      <c r="U35" s="2253"/>
      <c r="V35" s="2253"/>
      <c r="W35" s="2253"/>
    </row>
    <row r="36" spans="1:23" ht="15.75" outlineLevel="1" thickBot="1">
      <c r="A36" s="2103" t="s">
        <v>2011</v>
      </c>
      <c r="B36" s="2121">
        <f>'Комплекты опт'!B36-'Полотна опт'!$B$2</f>
        <v>12230.5</v>
      </c>
      <c r="C36" s="2121">
        <f>'Комплекты опт'!C36-'Полотна опт'!$B$2</f>
        <v>16653</v>
      </c>
      <c r="D36" s="2121"/>
      <c r="E36" s="2120"/>
      <c r="F36" s="2121"/>
      <c r="G36" s="2123"/>
      <c r="I36" s="2251" t="s">
        <v>2011</v>
      </c>
      <c r="J36" s="2121">
        <v>11620.5</v>
      </c>
      <c r="K36" s="2121">
        <v>15860</v>
      </c>
      <c r="L36" s="2121"/>
      <c r="M36" s="2120"/>
      <c r="N36" s="2121"/>
      <c r="O36" s="2123"/>
      <c r="Q36" s="2251" t="s">
        <v>2011</v>
      </c>
      <c r="R36" s="2253">
        <f t="shared" si="8"/>
        <v>5.2493438320210029E-2</v>
      </c>
      <c r="S36" s="2253">
        <f t="shared" si="9"/>
        <v>5.0000000000000044E-2</v>
      </c>
      <c r="T36" s="2253"/>
      <c r="U36" s="2253"/>
      <c r="V36" s="2253"/>
      <c r="W36" s="2253"/>
    </row>
    <row r="37" spans="1:23" ht="15.75" outlineLevel="1" thickBot="1">
      <c r="A37" s="2102" t="s">
        <v>1985</v>
      </c>
      <c r="B37" s="2121">
        <f>'Комплекты опт'!B37-'Полотна опт'!$B$2</f>
        <v>12932</v>
      </c>
      <c r="C37" s="2121">
        <f>'Комплекты опт'!C37-'Полотна опт'!$B$2</f>
        <v>17354.5</v>
      </c>
      <c r="D37" s="2121"/>
      <c r="E37" s="2120"/>
      <c r="F37" s="2121"/>
      <c r="G37" s="2123"/>
      <c r="I37" s="2102" t="s">
        <v>1985</v>
      </c>
      <c r="J37" s="2121">
        <v>12261</v>
      </c>
      <c r="K37" s="2121">
        <v>16500.5</v>
      </c>
      <c r="L37" s="2121"/>
      <c r="M37" s="2120"/>
      <c r="N37" s="2121"/>
      <c r="O37" s="2123"/>
      <c r="Q37" s="2102" t="s">
        <v>1985</v>
      </c>
      <c r="R37" s="2253">
        <f t="shared" si="8"/>
        <v>5.4726368159204064E-2</v>
      </c>
      <c r="S37" s="2253">
        <f t="shared" si="9"/>
        <v>5.1756007393715331E-2</v>
      </c>
      <c r="T37" s="2253"/>
      <c r="U37" s="2253"/>
      <c r="V37" s="2253"/>
      <c r="W37" s="2253"/>
    </row>
    <row r="38" spans="1:23" ht="15.75" outlineLevel="1" thickBot="1">
      <c r="A38" s="2099" t="s">
        <v>1544</v>
      </c>
      <c r="B38" s="2121">
        <f>'Комплекты опт'!B38-'Полотна опт'!$B$2</f>
        <v>12932</v>
      </c>
      <c r="C38" s="2121">
        <f>'Комплекты опт'!C38-'Полотна опт'!$B$2</f>
        <v>17354.5</v>
      </c>
      <c r="D38" s="2121"/>
      <c r="E38" s="2120"/>
      <c r="F38" s="2121"/>
      <c r="G38" s="2123"/>
      <c r="I38" s="2250" t="s">
        <v>1544</v>
      </c>
      <c r="J38" s="2121">
        <v>12261</v>
      </c>
      <c r="K38" s="2121">
        <v>16500.5</v>
      </c>
      <c r="L38" s="2121"/>
      <c r="M38" s="2120"/>
      <c r="N38" s="2121"/>
      <c r="O38" s="2123"/>
      <c r="Q38" s="2250" t="s">
        <v>1544</v>
      </c>
      <c r="R38" s="2253">
        <f t="shared" si="8"/>
        <v>5.4726368159204064E-2</v>
      </c>
      <c r="S38" s="2253">
        <f t="shared" si="9"/>
        <v>5.1756007393715331E-2</v>
      </c>
      <c r="T38" s="2253"/>
      <c r="U38" s="2253"/>
      <c r="V38" s="2253"/>
      <c r="W38" s="2253"/>
    </row>
    <row r="39" spans="1:23" ht="15" customHeight="1" outlineLevel="1" thickBot="1">
      <c r="A39" s="2099" t="s">
        <v>1199</v>
      </c>
      <c r="B39" s="2121">
        <f>'Комплекты опт'!B39-'Полотна опт'!$B$2</f>
        <v>12932</v>
      </c>
      <c r="C39" s="2121">
        <f>'Комплекты опт'!C39-'Полотна опт'!$B$2</f>
        <v>17354.5</v>
      </c>
      <c r="D39" s="2121"/>
      <c r="E39" s="2120"/>
      <c r="F39" s="2121"/>
      <c r="G39" s="2123"/>
      <c r="I39" s="2250" t="s">
        <v>1199</v>
      </c>
      <c r="J39" s="2121">
        <v>12261</v>
      </c>
      <c r="K39" s="2121">
        <v>16500.5</v>
      </c>
      <c r="L39" s="2121"/>
      <c r="M39" s="2120"/>
      <c r="N39" s="2121"/>
      <c r="O39" s="2123"/>
      <c r="Q39" s="2250" t="s">
        <v>1199</v>
      </c>
      <c r="R39" s="2253">
        <f t="shared" si="8"/>
        <v>5.4726368159204064E-2</v>
      </c>
      <c r="S39" s="2253">
        <f t="shared" si="9"/>
        <v>5.1756007393715331E-2</v>
      </c>
      <c r="T39" s="2253"/>
      <c r="U39" s="2253"/>
      <c r="V39" s="2253"/>
      <c r="W39" s="2253"/>
    </row>
    <row r="40" spans="1:23" ht="15.75" outlineLevel="1" thickBot="1">
      <c r="A40" s="2099" t="s">
        <v>1986</v>
      </c>
      <c r="B40" s="2121">
        <f>'Комплекты опт'!B40-'Полотна опт'!$B$2</f>
        <v>12932</v>
      </c>
      <c r="C40" s="2121">
        <f>'Комплекты опт'!C40-'Полотна опт'!$B$2</f>
        <v>17354.5</v>
      </c>
      <c r="D40" s="2121"/>
      <c r="E40" s="2120"/>
      <c r="F40" s="2121"/>
      <c r="G40" s="2123"/>
      <c r="I40" s="2250" t="s">
        <v>1986</v>
      </c>
      <c r="J40" s="2121">
        <v>12261</v>
      </c>
      <c r="K40" s="2121">
        <v>16500.5</v>
      </c>
      <c r="L40" s="2121"/>
      <c r="M40" s="2120"/>
      <c r="N40" s="2121"/>
      <c r="O40" s="2123"/>
      <c r="Q40" s="2250" t="s">
        <v>1986</v>
      </c>
      <c r="R40" s="2253">
        <f t="shared" si="8"/>
        <v>5.4726368159204064E-2</v>
      </c>
      <c r="S40" s="2253">
        <f t="shared" si="9"/>
        <v>5.1756007393715331E-2</v>
      </c>
      <c r="T40" s="2253"/>
      <c r="U40" s="2253"/>
      <c r="V40" s="2253"/>
      <c r="W40" s="2253"/>
    </row>
    <row r="41" spans="1:23" ht="15.75" outlineLevel="1" thickBot="1">
      <c r="A41" s="2099" t="s">
        <v>889</v>
      </c>
      <c r="B41" s="2121">
        <f>'Комплекты опт'!B41-'Полотна опт'!$B$2</f>
        <v>12932</v>
      </c>
      <c r="C41" s="2122"/>
      <c r="D41" s="2121"/>
      <c r="E41" s="2120"/>
      <c r="F41" s="2121"/>
      <c r="G41" s="2123"/>
      <c r="I41" s="2250" t="s">
        <v>889</v>
      </c>
      <c r="J41" s="2121">
        <v>12261</v>
      </c>
      <c r="K41" s="2126"/>
      <c r="L41" s="2121"/>
      <c r="M41" s="2120"/>
      <c r="N41" s="2121"/>
      <c r="O41" s="2123"/>
      <c r="Q41" s="2250" t="s">
        <v>889</v>
      </c>
      <c r="R41" s="2253">
        <f t="shared" si="8"/>
        <v>5.4726368159204064E-2</v>
      </c>
      <c r="S41" s="2253"/>
      <c r="T41" s="2253"/>
      <c r="U41" s="2253"/>
      <c r="V41" s="2253"/>
      <c r="W41" s="2253"/>
    </row>
    <row r="42" spans="1:23" ht="15.75" outlineLevel="1" thickBot="1">
      <c r="A42" s="2100" t="s">
        <v>890</v>
      </c>
      <c r="B42" s="2121">
        <f>'Комплекты опт'!B42-'Полотна опт'!$B$2</f>
        <v>12932</v>
      </c>
      <c r="C42" s="2122"/>
      <c r="D42" s="2121"/>
      <c r="E42" s="2120"/>
      <c r="F42" s="2121"/>
      <c r="G42" s="2123"/>
      <c r="I42" s="2100" t="s">
        <v>890</v>
      </c>
      <c r="J42" s="2121">
        <v>12261</v>
      </c>
      <c r="K42" s="2136"/>
      <c r="L42" s="2121"/>
      <c r="M42" s="2120"/>
      <c r="N42" s="2121"/>
      <c r="O42" s="2123"/>
      <c r="Q42" s="2100" t="s">
        <v>890</v>
      </c>
      <c r="R42" s="2253">
        <f t="shared" si="8"/>
        <v>5.4726368159204064E-2</v>
      </c>
      <c r="S42" s="2253"/>
      <c r="T42" s="2253"/>
      <c r="U42" s="2253"/>
      <c r="V42" s="2253"/>
      <c r="W42" s="2253"/>
    </row>
    <row r="43" spans="1:23" ht="15.75" outlineLevel="1" thickBot="1">
      <c r="A43" s="2104" t="s">
        <v>2012</v>
      </c>
      <c r="B43" s="2121">
        <f>'Комплекты опт'!B43-'Полотна опт'!$B$2</f>
        <v>14152</v>
      </c>
      <c r="C43" s="2122"/>
      <c r="D43" s="2121"/>
      <c r="E43" s="2120"/>
      <c r="F43" s="2121"/>
      <c r="G43" s="2123"/>
      <c r="I43" s="2104" t="s">
        <v>2012</v>
      </c>
      <c r="J43" s="2121">
        <v>13450.5</v>
      </c>
      <c r="K43" s="2152"/>
      <c r="L43" s="2121"/>
      <c r="M43" s="2120"/>
      <c r="N43" s="2121"/>
      <c r="O43" s="2123"/>
      <c r="Q43" s="2104" t="s">
        <v>2012</v>
      </c>
      <c r="R43" s="2253">
        <f t="shared" si="8"/>
        <v>5.2154195011337778E-2</v>
      </c>
      <c r="S43" s="2253"/>
      <c r="T43" s="2253"/>
      <c r="U43" s="2253"/>
      <c r="V43" s="2253"/>
      <c r="W43" s="2253"/>
    </row>
    <row r="44" spans="1:23" ht="15.75" outlineLevel="1" thickBot="1">
      <c r="A44" s="2104" t="s">
        <v>2013</v>
      </c>
      <c r="B44" s="2121">
        <f>'Комплекты опт'!B44-'Полотна опт'!$B$2</f>
        <v>16653</v>
      </c>
      <c r="C44" s="2122"/>
      <c r="D44" s="2121"/>
      <c r="E44" s="2120"/>
      <c r="F44" s="2121"/>
      <c r="G44" s="2123"/>
      <c r="I44" s="2104" t="s">
        <v>2013</v>
      </c>
      <c r="J44" s="2121">
        <v>15860</v>
      </c>
      <c r="K44" s="2152"/>
      <c r="L44" s="2121"/>
      <c r="M44" s="2120"/>
      <c r="N44" s="2121"/>
      <c r="O44" s="2123"/>
      <c r="Q44" s="2104" t="s">
        <v>2013</v>
      </c>
      <c r="R44" s="2253">
        <f t="shared" si="8"/>
        <v>5.0000000000000044E-2</v>
      </c>
      <c r="S44" s="2253"/>
      <c r="T44" s="2253"/>
      <c r="U44" s="2253"/>
      <c r="V44" s="2253"/>
      <c r="W44" s="2253"/>
    </row>
    <row r="45" spans="1:23" ht="15.75" outlineLevel="1" thickBot="1">
      <c r="A45" s="2104" t="s">
        <v>2014</v>
      </c>
      <c r="B45" s="2121">
        <f>'Комплекты опт'!B45-'Полотна опт'!$B$2</f>
        <v>20465.5</v>
      </c>
      <c r="C45" s="2122"/>
      <c r="D45" s="2121"/>
      <c r="E45" s="2120"/>
      <c r="F45" s="2121"/>
      <c r="G45" s="2123"/>
      <c r="I45" s="2104" t="s">
        <v>2014</v>
      </c>
      <c r="J45" s="2121">
        <v>19483.399999999998</v>
      </c>
      <c r="K45" s="2152"/>
      <c r="L45" s="2121"/>
      <c r="M45" s="2120"/>
      <c r="N45" s="2121"/>
      <c r="O45" s="2123"/>
      <c r="Q45" s="2104" t="s">
        <v>2014</v>
      </c>
      <c r="R45" s="2253">
        <f t="shared" si="8"/>
        <v>5.0407013149655677E-2</v>
      </c>
      <c r="S45" s="2253"/>
      <c r="T45" s="2253"/>
      <c r="U45" s="2253"/>
      <c r="V45" s="2253"/>
      <c r="W45" s="2253"/>
    </row>
    <row r="46" spans="1:23" ht="15.75" outlineLevel="1" thickBot="1">
      <c r="A46" s="2104" t="s">
        <v>2015</v>
      </c>
      <c r="B46" s="2121">
        <f>'Комплекты опт'!B46-'Полотна опт'!$B$2</f>
        <v>20465.5</v>
      </c>
      <c r="C46" s="2122"/>
      <c r="D46" s="2121"/>
      <c r="E46" s="2120"/>
      <c r="F46" s="2121"/>
      <c r="G46" s="2123"/>
      <c r="I46" s="2104" t="s">
        <v>2015</v>
      </c>
      <c r="J46" s="2121">
        <v>19483.399999999998</v>
      </c>
      <c r="K46" s="2152"/>
      <c r="L46" s="2121"/>
      <c r="M46" s="2120"/>
      <c r="N46" s="2121"/>
      <c r="O46" s="2123"/>
      <c r="Q46" s="2104" t="s">
        <v>2015</v>
      </c>
      <c r="R46" s="2253">
        <f t="shared" si="8"/>
        <v>5.0407013149655677E-2</v>
      </c>
      <c r="S46" s="2253"/>
      <c r="T46" s="2253"/>
      <c r="U46" s="2253"/>
      <c r="V46" s="2253"/>
      <c r="W46" s="2253"/>
    </row>
    <row r="47" spans="1:23" ht="15.75" outlineLevel="1" thickBot="1">
      <c r="A47" s="2105" t="s">
        <v>2016</v>
      </c>
      <c r="B47" s="2121">
        <f>'Комплекты опт'!B47-'Полотна опт'!$B$2</f>
        <v>21502.5</v>
      </c>
      <c r="C47" s="2122"/>
      <c r="D47" s="2121"/>
      <c r="E47" s="2120"/>
      <c r="F47" s="2121"/>
      <c r="G47" s="2123"/>
      <c r="I47" s="2105" t="s">
        <v>2016</v>
      </c>
      <c r="J47" s="2121">
        <v>20453.3</v>
      </c>
      <c r="K47" s="2157"/>
      <c r="L47" s="2121"/>
      <c r="M47" s="2120"/>
      <c r="N47" s="2121"/>
      <c r="O47" s="2123"/>
      <c r="Q47" s="2105" t="s">
        <v>2016</v>
      </c>
      <c r="R47" s="2253">
        <f t="shared" si="8"/>
        <v>5.1297345660602511E-2</v>
      </c>
      <c r="S47" s="2253"/>
      <c r="T47" s="2253"/>
      <c r="U47" s="2253"/>
      <c r="V47" s="2253"/>
      <c r="W47" s="2253"/>
    </row>
    <row r="48" spans="1:23" ht="15.75" outlineLevel="1" thickBot="1">
      <c r="A48" s="2098" t="s">
        <v>700</v>
      </c>
      <c r="B48" s="2121">
        <f>'Комплекты опт'!B48-'Полотна опт'!$B$2</f>
        <v>-8265.5</v>
      </c>
      <c r="C48" s="2122"/>
      <c r="D48" s="2121">
        <f>'Комплекты опт'!D48-'Полотна опт'!$D$2</f>
        <v>15036.5</v>
      </c>
      <c r="E48" s="2120">
        <f>'Комплекты опт'!E48-'Полотна опт'!$E$2</f>
        <v>16165</v>
      </c>
      <c r="F48" s="2121"/>
      <c r="G48" s="2123">
        <f>'Комплекты опт'!G48-'Полотна опт'!$G$2</f>
        <v>17622.899999999998</v>
      </c>
      <c r="H48" s="2081"/>
      <c r="I48" s="2098" t="s">
        <v>700</v>
      </c>
      <c r="J48" s="2121">
        <v>-7884.25</v>
      </c>
      <c r="K48" s="2122"/>
      <c r="L48" s="2121">
        <v>14298.399999999998</v>
      </c>
      <c r="M48" s="2120">
        <v>15372</v>
      </c>
      <c r="N48" s="2121"/>
      <c r="O48" s="2123">
        <v>16756.7</v>
      </c>
      <c r="Q48" s="2098" t="s">
        <v>700</v>
      </c>
      <c r="R48" s="2253"/>
      <c r="S48" s="2253"/>
      <c r="T48" s="2253">
        <f t="shared" ref="T48:U52" si="10">D48/L48-1</f>
        <v>5.1621160409556444E-2</v>
      </c>
      <c r="U48" s="2253">
        <f t="shared" si="10"/>
        <v>5.1587301587301626E-2</v>
      </c>
      <c r="V48" s="2253"/>
      <c r="W48" s="2253">
        <f>G48/O48-1</f>
        <v>5.1692755733527385E-2</v>
      </c>
    </row>
    <row r="49" spans="1:23" ht="15.75" outlineLevel="1" thickBot="1">
      <c r="A49" s="2099" t="s">
        <v>1987</v>
      </c>
      <c r="B49" s="2121">
        <f>'Комплекты опт'!B49-'Полотна опт'!$B$2</f>
        <v>-8265.5</v>
      </c>
      <c r="C49" s="2122"/>
      <c r="D49" s="2121">
        <f>'Комплекты опт'!D49-'Полотна опт'!$D$2</f>
        <v>15036.5</v>
      </c>
      <c r="E49" s="2120">
        <f>'Комплекты опт'!E49-'Полотна опт'!$E$2</f>
        <v>16165</v>
      </c>
      <c r="F49" s="2121"/>
      <c r="G49" s="2123">
        <f>'Комплекты опт'!G49-'Полотна опт'!$G$2</f>
        <v>17622.899999999998</v>
      </c>
      <c r="H49" s="2081"/>
      <c r="I49" s="2250" t="s">
        <v>1987</v>
      </c>
      <c r="J49" s="2121">
        <v>-7884.25</v>
      </c>
      <c r="K49" s="2126"/>
      <c r="L49" s="2121">
        <v>14298.399999999998</v>
      </c>
      <c r="M49" s="2120">
        <v>15372</v>
      </c>
      <c r="N49" s="2121"/>
      <c r="O49" s="2123">
        <v>16756.7</v>
      </c>
      <c r="Q49" s="2250" t="s">
        <v>1987</v>
      </c>
      <c r="R49" s="2253"/>
      <c r="S49" s="2253"/>
      <c r="T49" s="2253">
        <f t="shared" si="10"/>
        <v>5.1621160409556444E-2</v>
      </c>
      <c r="U49" s="2253">
        <f t="shared" si="10"/>
        <v>5.1587301587301626E-2</v>
      </c>
      <c r="V49" s="2253"/>
      <c r="W49" s="2253">
        <f>G49/O49-1</f>
        <v>5.1692755733527385E-2</v>
      </c>
    </row>
    <row r="50" spans="1:23" ht="15.75" outlineLevel="1" thickBot="1">
      <c r="A50" s="2099" t="s">
        <v>1048</v>
      </c>
      <c r="B50" s="2121">
        <f>'Комплекты опт'!B50-'Полотна опт'!$B$2</f>
        <v>-8265.5</v>
      </c>
      <c r="C50" s="2122"/>
      <c r="D50" s="2121">
        <f>'Комплекты опт'!D50-'Полотна опт'!$D$2</f>
        <v>15036.5</v>
      </c>
      <c r="E50" s="2120">
        <f>'Комплекты опт'!E50-'Полотна опт'!$E$2</f>
        <v>16165</v>
      </c>
      <c r="F50" s="2121"/>
      <c r="G50" s="2123">
        <f>'Комплекты опт'!G50-'Полотна опт'!$G$2</f>
        <v>17622.899999999998</v>
      </c>
      <c r="H50" s="2081"/>
      <c r="I50" s="2250" t="s">
        <v>1048</v>
      </c>
      <c r="J50" s="2121">
        <v>-7884.25</v>
      </c>
      <c r="K50" s="2126"/>
      <c r="L50" s="2121">
        <v>14298.399999999998</v>
      </c>
      <c r="M50" s="2120">
        <v>15372</v>
      </c>
      <c r="N50" s="2121"/>
      <c r="O50" s="2123">
        <v>16756.7</v>
      </c>
      <c r="Q50" s="2250" t="s">
        <v>1048</v>
      </c>
      <c r="R50" s="2253"/>
      <c r="S50" s="2253"/>
      <c r="T50" s="2253">
        <f t="shared" si="10"/>
        <v>5.1621160409556444E-2</v>
      </c>
      <c r="U50" s="2253">
        <f t="shared" si="10"/>
        <v>5.1587301587301626E-2</v>
      </c>
      <c r="V50" s="2253"/>
      <c r="W50" s="2253">
        <f>G50/O50-1</f>
        <v>5.1692755733527385E-2</v>
      </c>
    </row>
    <row r="51" spans="1:23" ht="15.75" outlineLevel="1" thickBot="1">
      <c r="A51" s="2099" t="s">
        <v>1988</v>
      </c>
      <c r="B51" s="2121">
        <f>'Комплекты опт'!B51-'Полотна опт'!$B$2</f>
        <v>-8265.5</v>
      </c>
      <c r="C51" s="2122"/>
      <c r="D51" s="2121">
        <f>'Комплекты опт'!D51-'Полотна опт'!$D$2</f>
        <v>15036.5</v>
      </c>
      <c r="E51" s="2120">
        <f>'Комплекты опт'!E51-'Полотна опт'!$E$2</f>
        <v>16165</v>
      </c>
      <c r="F51" s="2121"/>
      <c r="G51" s="2123">
        <f>'Комплекты опт'!G51-'Полотна опт'!$G$2</f>
        <v>17622.899999999998</v>
      </c>
      <c r="H51" s="2081"/>
      <c r="I51" s="2250" t="s">
        <v>1988</v>
      </c>
      <c r="J51" s="2121">
        <v>-7884.25</v>
      </c>
      <c r="K51" s="2126"/>
      <c r="L51" s="2121">
        <v>14298.399999999998</v>
      </c>
      <c r="M51" s="2120">
        <v>15372</v>
      </c>
      <c r="N51" s="2121"/>
      <c r="O51" s="2123">
        <v>16756.7</v>
      </c>
      <c r="Q51" s="2250" t="s">
        <v>1988</v>
      </c>
      <c r="R51" s="2253"/>
      <c r="S51" s="2253"/>
      <c r="T51" s="2253">
        <f t="shared" si="10"/>
        <v>5.1621160409556444E-2</v>
      </c>
      <c r="U51" s="2253">
        <f t="shared" si="10"/>
        <v>5.1587301587301626E-2</v>
      </c>
      <c r="V51" s="2253"/>
      <c r="W51" s="2253">
        <f>G51/O51-1</f>
        <v>5.1692755733527385E-2</v>
      </c>
    </row>
    <row r="52" spans="1:23" ht="15.75" outlineLevel="1" thickBot="1">
      <c r="A52" s="2100" t="s">
        <v>701</v>
      </c>
      <c r="B52" s="2121">
        <f>'Комплекты опт'!B52-'Полотна опт'!$B$2</f>
        <v>-8265.5</v>
      </c>
      <c r="C52" s="2122"/>
      <c r="D52" s="2121">
        <f>'Комплекты опт'!D52-'Полотна опт'!$D$2</f>
        <v>18513.5</v>
      </c>
      <c r="E52" s="2120">
        <f>'Комплекты опт'!E52-'Полотна опт'!$E$2</f>
        <v>19642</v>
      </c>
      <c r="F52" s="2121"/>
      <c r="G52" s="2123">
        <f>'Комплекты опт'!G52-'Полотна опт'!$G$2</f>
        <v>21099.899999999998</v>
      </c>
      <c r="H52" s="2081"/>
      <c r="I52" s="2100" t="s">
        <v>701</v>
      </c>
      <c r="J52" s="2121">
        <v>-7884.25</v>
      </c>
      <c r="K52" s="2136"/>
      <c r="L52" s="2121">
        <v>17604.599999999999</v>
      </c>
      <c r="M52" s="2120">
        <v>18678.2</v>
      </c>
      <c r="N52" s="2121"/>
      <c r="O52" s="2123">
        <v>20062.899999999998</v>
      </c>
      <c r="Q52" s="2100" t="s">
        <v>701</v>
      </c>
      <c r="R52" s="2253"/>
      <c r="S52" s="2253"/>
      <c r="T52" s="2253">
        <f t="shared" si="10"/>
        <v>5.1628551628551733E-2</v>
      </c>
      <c r="U52" s="2253">
        <f t="shared" si="10"/>
        <v>5.1600261267145564E-2</v>
      </c>
      <c r="V52" s="2253"/>
      <c r="W52" s="2253">
        <f>G52/O52-1</f>
        <v>5.1687442991790844E-2</v>
      </c>
    </row>
    <row r="53" spans="1:23" ht="15.75" outlineLevel="1" thickBot="1">
      <c r="A53" s="2102" t="s">
        <v>706</v>
      </c>
      <c r="B53" s="2121">
        <f>'Комплекты опт'!B53-'Полотна опт'!$B$2</f>
        <v>16653</v>
      </c>
      <c r="C53" s="2122"/>
      <c r="D53" s="2121"/>
      <c r="E53" s="2120"/>
      <c r="F53" s="2121"/>
      <c r="G53" s="2123"/>
      <c r="H53" s="669"/>
      <c r="I53" s="2102" t="s">
        <v>706</v>
      </c>
      <c r="J53" s="2121">
        <v>15860</v>
      </c>
      <c r="K53" s="2122"/>
      <c r="L53" s="2121"/>
      <c r="M53" s="2120"/>
      <c r="N53" s="2121"/>
      <c r="O53" s="2123"/>
      <c r="Q53" s="2102" t="s">
        <v>706</v>
      </c>
      <c r="R53" s="2253">
        <f t="shared" ref="R53:R61" si="11">B53/J53-1</f>
        <v>5.0000000000000044E-2</v>
      </c>
      <c r="S53" s="2253"/>
      <c r="T53" s="2253"/>
      <c r="U53" s="2253"/>
      <c r="V53" s="2253"/>
      <c r="W53" s="2253"/>
    </row>
    <row r="54" spans="1:23" ht="15.75" outlineLevel="1" thickBot="1">
      <c r="A54" s="2103" t="s">
        <v>707</v>
      </c>
      <c r="B54" s="2121">
        <f>'Комплекты опт'!B54-'Полотна опт'!$B$2</f>
        <v>18574.5</v>
      </c>
      <c r="C54" s="2122"/>
      <c r="D54" s="2121"/>
      <c r="E54" s="2120"/>
      <c r="F54" s="2121"/>
      <c r="G54" s="2123"/>
      <c r="H54" s="669"/>
      <c r="I54" s="2251" t="s">
        <v>707</v>
      </c>
      <c r="J54" s="2121">
        <v>17671.7</v>
      </c>
      <c r="K54" s="2126"/>
      <c r="L54" s="2121"/>
      <c r="M54" s="2120"/>
      <c r="N54" s="2121"/>
      <c r="O54" s="2123"/>
      <c r="Q54" s="2251" t="s">
        <v>707</v>
      </c>
      <c r="R54" s="2253">
        <f t="shared" si="11"/>
        <v>5.1087331722471374E-2</v>
      </c>
      <c r="S54" s="2253"/>
      <c r="T54" s="2253"/>
      <c r="U54" s="2253"/>
      <c r="V54" s="2253"/>
      <c r="W54" s="2253"/>
    </row>
    <row r="55" spans="1:23" ht="15.75" outlineLevel="1" thickBot="1">
      <c r="A55" s="2103" t="s">
        <v>708</v>
      </c>
      <c r="B55" s="2121">
        <f>'Комплекты опт'!B55-'Полотна опт'!$B$2</f>
        <v>18574.5</v>
      </c>
      <c r="C55" s="2122"/>
      <c r="D55" s="2121"/>
      <c r="E55" s="2120"/>
      <c r="F55" s="2121"/>
      <c r="G55" s="2123"/>
      <c r="H55" s="669"/>
      <c r="I55" s="2251" t="s">
        <v>708</v>
      </c>
      <c r="J55" s="2121">
        <v>17671.7</v>
      </c>
      <c r="K55" s="2126"/>
      <c r="L55" s="2121"/>
      <c r="M55" s="2120"/>
      <c r="N55" s="2121"/>
      <c r="O55" s="2123"/>
      <c r="Q55" s="2251" t="s">
        <v>708</v>
      </c>
      <c r="R55" s="2253">
        <f t="shared" si="11"/>
        <v>5.1087331722471374E-2</v>
      </c>
      <c r="S55" s="2253"/>
      <c r="T55" s="2253"/>
      <c r="U55" s="2253"/>
      <c r="V55" s="2253"/>
      <c r="W55" s="2253"/>
    </row>
    <row r="56" spans="1:23" ht="15.75" outlineLevel="1" thickBot="1">
      <c r="A56" s="2106" t="s">
        <v>709</v>
      </c>
      <c r="B56" s="2121">
        <f>'Комплекты опт'!B56-'Полотна опт'!$B$2</f>
        <v>20465.5</v>
      </c>
      <c r="C56" s="2122"/>
      <c r="D56" s="2121"/>
      <c r="E56" s="2120"/>
      <c r="F56" s="2121"/>
      <c r="G56" s="2123"/>
      <c r="H56" s="669"/>
      <c r="I56" s="2106" t="s">
        <v>709</v>
      </c>
      <c r="J56" s="2121">
        <v>19483.399999999998</v>
      </c>
      <c r="K56" s="2136"/>
      <c r="L56" s="2121"/>
      <c r="M56" s="2120"/>
      <c r="N56" s="2121"/>
      <c r="O56" s="2123"/>
      <c r="Q56" s="2106" t="s">
        <v>709</v>
      </c>
      <c r="R56" s="2253">
        <f t="shared" si="11"/>
        <v>5.0407013149655677E-2</v>
      </c>
      <c r="S56" s="2253"/>
      <c r="T56" s="2253"/>
      <c r="U56" s="2253"/>
      <c r="V56" s="2253"/>
      <c r="W56" s="2253"/>
    </row>
    <row r="57" spans="1:23" ht="15.75" outlineLevel="1" thickBot="1">
      <c r="A57" s="2102" t="s">
        <v>223</v>
      </c>
      <c r="B57" s="2121">
        <f>'Комплекты опт'!B57-'Полотна опт'!$B$2</f>
        <v>24400</v>
      </c>
      <c r="C57" s="2122"/>
      <c r="D57" s="2121"/>
      <c r="E57" s="2120"/>
      <c r="F57" s="2121"/>
      <c r="G57" s="2123"/>
      <c r="H57" s="669"/>
      <c r="I57" s="2102" t="s">
        <v>223</v>
      </c>
      <c r="J57" s="2121">
        <v>23228.799999999999</v>
      </c>
      <c r="K57" s="2122"/>
      <c r="L57" s="2121"/>
      <c r="M57" s="2120"/>
      <c r="N57" s="2121"/>
      <c r="O57" s="2123"/>
      <c r="Q57" s="2102" t="s">
        <v>223</v>
      </c>
      <c r="R57" s="2253">
        <f t="shared" si="11"/>
        <v>5.0420168067226934E-2</v>
      </c>
      <c r="S57" s="2253"/>
      <c r="T57" s="2253"/>
      <c r="U57" s="2253"/>
      <c r="V57" s="2253"/>
      <c r="W57" s="2253"/>
    </row>
    <row r="58" spans="1:23" ht="24.75" outlineLevel="1" thickBot="1">
      <c r="A58" s="2103" t="s">
        <v>1990</v>
      </c>
      <c r="B58" s="2121">
        <f>'Комплекты опт'!B58-'Полотна опт'!$B$2</f>
        <v>29737.5</v>
      </c>
      <c r="C58" s="2122"/>
      <c r="D58" s="2121"/>
      <c r="E58" s="2120"/>
      <c r="F58" s="2121"/>
      <c r="G58" s="2123"/>
      <c r="H58" s="669"/>
      <c r="I58" s="2251" t="s">
        <v>1990</v>
      </c>
      <c r="J58" s="2121">
        <v>28304</v>
      </c>
      <c r="K58" s="2126"/>
      <c r="L58" s="2121"/>
      <c r="M58" s="2120"/>
      <c r="N58" s="2121"/>
      <c r="O58" s="2123"/>
      <c r="Q58" s="2251" t="s">
        <v>1990</v>
      </c>
      <c r="R58" s="2253">
        <f t="shared" si="11"/>
        <v>5.06465517241379E-2</v>
      </c>
      <c r="S58" s="2253"/>
      <c r="T58" s="2253"/>
      <c r="U58" s="2253"/>
      <c r="V58" s="2253"/>
      <c r="W58" s="2253"/>
    </row>
    <row r="59" spans="1:23" ht="15.75" outlineLevel="1" thickBot="1">
      <c r="A59" s="2103" t="s">
        <v>1991</v>
      </c>
      <c r="B59" s="2121">
        <f>'Комплекты опт'!B59-'Полотна опт'!$B$2</f>
        <v>39589</v>
      </c>
      <c r="C59" s="2122"/>
      <c r="D59" s="2121"/>
      <c r="E59" s="2120"/>
      <c r="F59" s="2121"/>
      <c r="G59" s="2123"/>
      <c r="H59" s="669"/>
      <c r="I59" s="2251" t="s">
        <v>1991</v>
      </c>
      <c r="J59" s="2121">
        <v>37661.4</v>
      </c>
      <c r="K59" s="2126"/>
      <c r="L59" s="2121"/>
      <c r="M59" s="2120"/>
      <c r="N59" s="2121"/>
      <c r="O59" s="2123"/>
      <c r="Q59" s="2251" t="s">
        <v>1991</v>
      </c>
      <c r="R59" s="2253">
        <f t="shared" si="11"/>
        <v>5.1182377712989835E-2</v>
      </c>
      <c r="S59" s="2253"/>
      <c r="T59" s="2253"/>
      <c r="U59" s="2253"/>
      <c r="V59" s="2253"/>
      <c r="W59" s="2253"/>
    </row>
    <row r="60" spans="1:23" ht="15.75" outlineLevel="1" thickBot="1">
      <c r="A60" s="2103" t="s">
        <v>1992</v>
      </c>
      <c r="B60" s="2121">
        <f>'Комплекты опт'!B60-'Полотна опт'!$B$2</f>
        <v>43547.9</v>
      </c>
      <c r="C60" s="2122"/>
      <c r="D60" s="2121"/>
      <c r="E60" s="2120"/>
      <c r="F60" s="2121"/>
      <c r="G60" s="2123"/>
      <c r="H60" s="669"/>
      <c r="I60" s="2251" t="s">
        <v>1992</v>
      </c>
      <c r="J60" s="2121">
        <v>41427.54</v>
      </c>
      <c r="K60" s="2126"/>
      <c r="L60" s="2121"/>
      <c r="M60" s="2120"/>
      <c r="N60" s="2121"/>
      <c r="O60" s="2123"/>
      <c r="Q60" s="2251" t="s">
        <v>1992</v>
      </c>
      <c r="R60" s="2253">
        <f t="shared" si="11"/>
        <v>5.1182377712990057E-2</v>
      </c>
      <c r="S60" s="2253"/>
      <c r="T60" s="2253"/>
      <c r="U60" s="2253"/>
      <c r="V60" s="2253"/>
      <c r="W60" s="2253"/>
    </row>
    <row r="61" spans="1:23" ht="15.75" outlineLevel="1" thickBot="1">
      <c r="A61" s="2106" t="s">
        <v>1989</v>
      </c>
      <c r="B61" s="2121">
        <f>'Комплекты опт'!B61-'Полотна опт'!$B$2</f>
        <v>39589</v>
      </c>
      <c r="C61" s="2122"/>
      <c r="D61" s="2121"/>
      <c r="E61" s="2120"/>
      <c r="F61" s="2121"/>
      <c r="G61" s="2123"/>
      <c r="H61" s="669"/>
      <c r="I61" s="2106" t="s">
        <v>1989</v>
      </c>
      <c r="J61" s="2121">
        <v>37661.4</v>
      </c>
      <c r="K61" s="2136"/>
      <c r="L61" s="2121"/>
      <c r="M61" s="2120"/>
      <c r="N61" s="2121"/>
      <c r="O61" s="2123"/>
      <c r="Q61" s="2106" t="s">
        <v>1989</v>
      </c>
      <c r="R61" s="2253">
        <f t="shared" si="11"/>
        <v>5.1182377712989835E-2</v>
      </c>
      <c r="S61" s="2253"/>
      <c r="T61" s="2253"/>
      <c r="U61" s="2253"/>
      <c r="V61" s="2253"/>
      <c r="W61" s="2253"/>
    </row>
    <row r="62" spans="1:23" ht="15.75" customHeight="1" outlineLevel="1" thickBot="1">
      <c r="A62" s="2107" t="s">
        <v>1993</v>
      </c>
      <c r="B62" s="2121"/>
      <c r="C62" s="2122"/>
      <c r="D62" s="2121"/>
      <c r="E62" s="2120">
        <f>'Комплекты опт'!E62-'Полотна опт'!$E$2</f>
        <v>20740</v>
      </c>
      <c r="F62" s="2121">
        <f>'Комплекты опт'!F62-'Полотна опт'!$F$2</f>
        <v>21673.3</v>
      </c>
      <c r="G62" s="2123">
        <f>'Комплекты опт'!G62-'Полотна опт'!$G$2</f>
        <v>22606.6</v>
      </c>
      <c r="H62" s="669"/>
      <c r="I62" s="2107" t="s">
        <v>1993</v>
      </c>
      <c r="J62" s="2121"/>
      <c r="K62" s="2122"/>
      <c r="L62" s="2121"/>
      <c r="M62" s="2120">
        <v>19751.8</v>
      </c>
      <c r="N62" s="2121">
        <v>20642.399999999998</v>
      </c>
      <c r="O62" s="2123">
        <v>21533</v>
      </c>
      <c r="Q62" s="2107" t="s">
        <v>1993</v>
      </c>
      <c r="R62" s="2253"/>
      <c r="S62" s="2253"/>
      <c r="T62" s="2253"/>
      <c r="U62" s="2253">
        <f t="shared" ref="U62:U67" si="12">E62/M62-1</f>
        <v>5.0030883261272363E-2</v>
      </c>
      <c r="V62" s="2253"/>
      <c r="W62" s="2253">
        <f>G62/O62-1</f>
        <v>4.9858356940509774E-2</v>
      </c>
    </row>
    <row r="63" spans="1:23" ht="15.75" customHeight="1" outlineLevel="1" thickBot="1">
      <c r="A63" s="2108" t="s">
        <v>1846</v>
      </c>
      <c r="B63" s="2121"/>
      <c r="C63" s="2122"/>
      <c r="D63" s="2121"/>
      <c r="E63" s="2120">
        <f>'Комплекты опт'!E63-'Полотна опт'!$E$2</f>
        <v>22173.5</v>
      </c>
      <c r="F63" s="2121">
        <f>'Комплекты опт'!F63-'Полотна опт'!$F$2</f>
        <v>23106.800000000003</v>
      </c>
      <c r="G63" s="2123">
        <f>'Комплекты опт'!G63-'Полотна опт'!$G$2</f>
        <v>24040.1</v>
      </c>
      <c r="H63" s="669"/>
      <c r="I63" s="2108" t="s">
        <v>1846</v>
      </c>
      <c r="J63" s="2121"/>
      <c r="K63" s="2126"/>
      <c r="L63" s="2121"/>
      <c r="M63" s="2120">
        <v>21093.8</v>
      </c>
      <c r="N63" s="2121">
        <v>21984.399999999998</v>
      </c>
      <c r="O63" s="2123">
        <v>22875</v>
      </c>
      <c r="Q63" s="2108" t="s">
        <v>1846</v>
      </c>
      <c r="R63" s="2253"/>
      <c r="S63" s="2253"/>
      <c r="T63" s="2253"/>
      <c r="U63" s="2253">
        <f t="shared" si="12"/>
        <v>5.1185656448814454E-2</v>
      </c>
      <c r="V63" s="2253"/>
      <c r="W63" s="2253">
        <f>G63/O63-1</f>
        <v>5.0933333333333275E-2</v>
      </c>
    </row>
    <row r="64" spans="1:23" ht="15.75" customHeight="1" outlineLevel="1" thickBot="1">
      <c r="A64" s="2109" t="s">
        <v>2026</v>
      </c>
      <c r="B64" s="2121"/>
      <c r="C64" s="2122"/>
      <c r="D64" s="2121"/>
      <c r="E64" s="2120">
        <f>'Комплекты опт'!E64-'Полотна опт'!$E$2</f>
        <v>22173.5</v>
      </c>
      <c r="F64" s="2121">
        <f>'Комплекты опт'!F64-'Полотна опт'!$F$2</f>
        <v>23106.800000000003</v>
      </c>
      <c r="G64" s="2123">
        <f>'Комплекты опт'!G64-'Полотна опт'!$G$2</f>
        <v>24040.1</v>
      </c>
      <c r="H64" s="669"/>
      <c r="I64" s="2109" t="s">
        <v>2026</v>
      </c>
      <c r="J64" s="2121"/>
      <c r="K64" s="2126"/>
      <c r="L64" s="2121"/>
      <c r="M64" s="2120">
        <v>22679.8</v>
      </c>
      <c r="N64" s="2121">
        <v>23570.400000000001</v>
      </c>
      <c r="O64" s="2123">
        <v>24461</v>
      </c>
      <c r="Q64" s="2109" t="s">
        <v>2026</v>
      </c>
      <c r="R64" s="2253"/>
      <c r="S64" s="2253"/>
      <c r="T64" s="2253"/>
      <c r="U64" s="2253">
        <f t="shared" si="12"/>
        <v>-2.2323830016137691E-2</v>
      </c>
      <c r="V64" s="2253"/>
      <c r="W64" s="2253">
        <f>G64/O64-1</f>
        <v>-1.7206982543640947E-2</v>
      </c>
    </row>
    <row r="65" spans="1:23" ht="15.75" customHeight="1" outlineLevel="1" thickBot="1">
      <c r="A65" s="2108" t="s">
        <v>1994</v>
      </c>
      <c r="B65" s="2121"/>
      <c r="C65" s="2122"/>
      <c r="D65" s="2121"/>
      <c r="E65" s="2120">
        <f>'Комплекты опт'!E65-'Полотна опт'!$E$2</f>
        <v>27572</v>
      </c>
      <c r="F65" s="2121"/>
      <c r="G65" s="2123"/>
      <c r="H65" s="669"/>
      <c r="I65" s="2108" t="s">
        <v>1994</v>
      </c>
      <c r="J65" s="2121"/>
      <c r="K65" s="2126"/>
      <c r="L65" s="2121"/>
      <c r="M65" s="2120">
        <v>26230</v>
      </c>
      <c r="N65" s="2121"/>
      <c r="O65" s="2123"/>
      <c r="Q65" s="2108" t="s">
        <v>1994</v>
      </c>
      <c r="R65" s="2253"/>
      <c r="S65" s="2253"/>
      <c r="T65" s="2253"/>
      <c r="U65" s="2253">
        <f t="shared" si="12"/>
        <v>5.1162790697674376E-2</v>
      </c>
      <c r="V65" s="2253"/>
      <c r="W65" s="2253"/>
    </row>
    <row r="66" spans="1:23" ht="15.75" customHeight="1" outlineLevel="1" thickBot="1">
      <c r="A66" s="2109" t="s">
        <v>2027</v>
      </c>
      <c r="B66" s="2121">
        <f>'Комплекты опт'!B66-'Полотна опт'!$B$2</f>
        <v>20740</v>
      </c>
      <c r="C66" s="2122"/>
      <c r="D66" s="2121"/>
      <c r="E66" s="2120">
        <f>'Комплекты опт'!E66-'Полотна опт'!$E$2</f>
        <v>24430.5</v>
      </c>
      <c r="F66" s="2121"/>
      <c r="G66" s="2123"/>
      <c r="H66" s="669"/>
      <c r="I66" s="2109" t="s">
        <v>2027</v>
      </c>
      <c r="J66" s="2121">
        <v>19733.5</v>
      </c>
      <c r="K66" s="2126"/>
      <c r="L66" s="2121"/>
      <c r="M66" s="2120">
        <v>23241</v>
      </c>
      <c r="N66" s="2121"/>
      <c r="O66" s="2123"/>
      <c r="Q66" s="2109" t="s">
        <v>2027</v>
      </c>
      <c r="R66" s="2253">
        <f t="shared" ref="R66:R74" si="13">B66/J66-1</f>
        <v>5.1004636785162205E-2</v>
      </c>
      <c r="S66" s="2253"/>
      <c r="T66" s="2253"/>
      <c r="U66" s="2253">
        <f t="shared" si="12"/>
        <v>5.1181102362204633E-2</v>
      </c>
      <c r="V66" s="2253"/>
      <c r="W66" s="2253"/>
    </row>
    <row r="67" spans="1:23" ht="15" customHeight="1" outlineLevel="1" thickBot="1">
      <c r="A67" s="2106" t="s">
        <v>1995</v>
      </c>
      <c r="B67" s="2121">
        <f>'Комплекты опт'!B67-'Полотна опт'!$B$2</f>
        <v>23637.5</v>
      </c>
      <c r="C67" s="2122"/>
      <c r="D67" s="2121"/>
      <c r="E67" s="2120">
        <f>'Комплекты опт'!E67-'Полотна опт'!$E$2</f>
        <v>27572</v>
      </c>
      <c r="F67" s="2121"/>
      <c r="G67" s="2123"/>
      <c r="H67" s="669"/>
      <c r="I67" s="2106" t="s">
        <v>1995</v>
      </c>
      <c r="J67" s="2121">
        <v>22496.799999999999</v>
      </c>
      <c r="K67" s="2136"/>
      <c r="L67" s="2121"/>
      <c r="M67" s="2120">
        <v>26230</v>
      </c>
      <c r="N67" s="2121"/>
      <c r="O67" s="2123"/>
      <c r="Q67" s="2106" t="s">
        <v>1995</v>
      </c>
      <c r="R67" s="2253">
        <f t="shared" si="13"/>
        <v>5.0704989154013003E-2</v>
      </c>
      <c r="S67" s="2253"/>
      <c r="T67" s="2253"/>
      <c r="U67" s="2253">
        <f t="shared" si="12"/>
        <v>5.1162790697674376E-2</v>
      </c>
      <c r="V67" s="2253"/>
      <c r="W67" s="2253"/>
    </row>
    <row r="68" spans="1:23" ht="15" customHeight="1" outlineLevel="1" thickBot="1">
      <c r="A68" s="2102" t="s">
        <v>1996</v>
      </c>
      <c r="B68" s="2121">
        <f>'Комплекты опт'!B68-'Полотна опт'!$B$2</f>
        <v>18757.5</v>
      </c>
      <c r="C68" s="2122"/>
      <c r="D68" s="2121"/>
      <c r="E68" s="2120"/>
      <c r="F68" s="2121"/>
      <c r="G68" s="2123"/>
      <c r="H68" s="669"/>
      <c r="I68" s="2102" t="s">
        <v>1996</v>
      </c>
      <c r="J68" s="2121">
        <v>17836.399999999998</v>
      </c>
      <c r="K68" s="2122"/>
      <c r="L68" s="2121"/>
      <c r="M68" s="2120"/>
      <c r="N68" s="2121"/>
      <c r="O68" s="2123"/>
      <c r="Q68" s="2102" t="s">
        <v>1996</v>
      </c>
      <c r="R68" s="2253">
        <f t="shared" si="13"/>
        <v>5.1641586867305245E-2</v>
      </c>
      <c r="S68" s="2253"/>
      <c r="T68" s="2253"/>
      <c r="U68" s="2253"/>
      <c r="V68" s="2253"/>
      <c r="W68" s="2253"/>
    </row>
    <row r="69" spans="1:23" ht="15" customHeight="1" outlineLevel="1" thickBot="1">
      <c r="A69" s="2109" t="s">
        <v>1997</v>
      </c>
      <c r="B69" s="2121">
        <f>'Комплекты опт'!B69-'Полотна опт'!$B$2</f>
        <v>31689.5</v>
      </c>
      <c r="C69" s="2122"/>
      <c r="D69" s="2121"/>
      <c r="E69" s="2120"/>
      <c r="F69" s="2121"/>
      <c r="G69" s="2123"/>
      <c r="H69" s="669"/>
      <c r="I69" s="2109" t="s">
        <v>1997</v>
      </c>
      <c r="J69" s="2121">
        <v>30134</v>
      </c>
      <c r="K69" s="2132"/>
      <c r="L69" s="2121"/>
      <c r="M69" s="2120"/>
      <c r="N69" s="2121"/>
      <c r="O69" s="2123"/>
      <c r="Q69" s="2109" t="s">
        <v>1997</v>
      </c>
      <c r="R69" s="2253">
        <f t="shared" si="13"/>
        <v>5.1619433198380582E-2</v>
      </c>
      <c r="S69" s="2253"/>
      <c r="T69" s="2253"/>
      <c r="U69" s="2253"/>
      <c r="V69" s="2253"/>
      <c r="W69" s="2253"/>
    </row>
    <row r="70" spans="1:23" ht="15.75" outlineLevel="1" thickBot="1">
      <c r="A70" s="2102" t="s">
        <v>1998</v>
      </c>
      <c r="B70" s="2121">
        <f>'Комплекты опт'!B70-'Полотна опт'!$B$2</f>
        <v>28334.5</v>
      </c>
      <c r="C70" s="2122"/>
      <c r="D70" s="2121"/>
      <c r="E70" s="2120"/>
      <c r="F70" s="2121"/>
      <c r="G70" s="2123"/>
      <c r="H70" s="669"/>
      <c r="I70" s="2102" t="s">
        <v>1998</v>
      </c>
      <c r="J70" s="2121">
        <v>26962</v>
      </c>
      <c r="K70" s="2122"/>
      <c r="L70" s="2121"/>
      <c r="M70" s="2120"/>
      <c r="N70" s="2121"/>
      <c r="O70" s="2123"/>
      <c r="Q70" s="2102" t="s">
        <v>1998</v>
      </c>
      <c r="R70" s="2253">
        <f t="shared" si="13"/>
        <v>5.0904977375565652E-2</v>
      </c>
      <c r="S70" s="2253"/>
      <c r="T70" s="2253"/>
      <c r="U70" s="2253"/>
      <c r="V70" s="2253"/>
      <c r="W70" s="2253"/>
    </row>
    <row r="71" spans="1:23" ht="15.75" outlineLevel="1" thickBot="1">
      <c r="A71" s="2103" t="s">
        <v>1999</v>
      </c>
      <c r="B71" s="2121">
        <f>'Комплекты опт'!B71-'Полотна опт'!$B$2</f>
        <v>31689.5</v>
      </c>
      <c r="C71" s="2122"/>
      <c r="D71" s="2121"/>
      <c r="E71" s="2120"/>
      <c r="F71" s="2121"/>
      <c r="G71" s="2123"/>
      <c r="H71" s="669"/>
      <c r="I71" s="2251" t="s">
        <v>1999</v>
      </c>
      <c r="J71" s="2121">
        <v>30134</v>
      </c>
      <c r="K71" s="2126"/>
      <c r="L71" s="2121"/>
      <c r="M71" s="2120"/>
      <c r="N71" s="2121"/>
      <c r="O71" s="2123"/>
      <c r="Q71" s="2251" t="s">
        <v>1999</v>
      </c>
      <c r="R71" s="2253">
        <f t="shared" si="13"/>
        <v>5.1619433198380582E-2</v>
      </c>
      <c r="S71" s="2253"/>
      <c r="T71" s="2253"/>
      <c r="U71" s="2253"/>
      <c r="V71" s="2253"/>
      <c r="W71" s="2253"/>
    </row>
    <row r="72" spans="1:23" ht="15.75" outlineLevel="1" thickBot="1">
      <c r="A72" s="2108" t="s">
        <v>2000</v>
      </c>
      <c r="B72" s="2121">
        <f>'Комплекты опт'!B72-'Полотна опт'!$B$2</f>
        <v>35044.5</v>
      </c>
      <c r="C72" s="2122"/>
      <c r="D72" s="2121"/>
      <c r="E72" s="2120"/>
      <c r="F72" s="2121"/>
      <c r="G72" s="2123"/>
      <c r="H72" s="669"/>
      <c r="I72" s="2108" t="s">
        <v>2000</v>
      </c>
      <c r="J72" s="2121">
        <v>33306</v>
      </c>
      <c r="K72" s="2126"/>
      <c r="L72" s="2121"/>
      <c r="M72" s="2120"/>
      <c r="N72" s="2121"/>
      <c r="O72" s="2123"/>
      <c r="Q72" s="2108" t="s">
        <v>2000</v>
      </c>
      <c r="R72" s="2253">
        <f t="shared" si="13"/>
        <v>5.2197802197802234E-2</v>
      </c>
      <c r="S72" s="2253"/>
      <c r="T72" s="2253"/>
      <c r="U72" s="2253"/>
      <c r="V72" s="2253"/>
      <c r="W72" s="2253"/>
    </row>
    <row r="73" spans="1:23" ht="15.75" outlineLevel="1" thickBot="1">
      <c r="A73" s="2108" t="s">
        <v>1047</v>
      </c>
      <c r="B73" s="2121">
        <f>'Комплекты опт'!B73-'Полотна опт'!$B$2</f>
        <v>35044.5</v>
      </c>
      <c r="C73" s="2122"/>
      <c r="D73" s="2121"/>
      <c r="E73" s="2120"/>
      <c r="F73" s="2121"/>
      <c r="G73" s="2123"/>
      <c r="H73" s="669"/>
      <c r="I73" s="2108" t="s">
        <v>1047</v>
      </c>
      <c r="J73" s="2121">
        <v>33306</v>
      </c>
      <c r="K73" s="2126"/>
      <c r="L73" s="2121"/>
      <c r="M73" s="2120"/>
      <c r="N73" s="2121"/>
      <c r="O73" s="2123"/>
      <c r="Q73" s="2108" t="s">
        <v>1047</v>
      </c>
      <c r="R73" s="2253">
        <f t="shared" si="13"/>
        <v>5.2197802197802234E-2</v>
      </c>
      <c r="S73" s="2253"/>
      <c r="T73" s="2253"/>
      <c r="U73" s="2253"/>
      <c r="V73" s="2253"/>
      <c r="W73" s="2253"/>
    </row>
    <row r="74" spans="1:23" ht="15.75" outlineLevel="1" thickBot="1">
      <c r="A74" s="2110" t="s">
        <v>2001</v>
      </c>
      <c r="B74" s="2121">
        <f>'Комплекты опт'!B74-'Полотна опт'!$B$2</f>
        <v>35044.5</v>
      </c>
      <c r="C74" s="2122"/>
      <c r="D74" s="2121"/>
      <c r="E74" s="2120"/>
      <c r="F74" s="2121"/>
      <c r="G74" s="2123"/>
      <c r="H74" s="669"/>
      <c r="I74" s="2110" t="s">
        <v>2001</v>
      </c>
      <c r="J74" s="2121">
        <v>33306</v>
      </c>
      <c r="K74" s="2136"/>
      <c r="L74" s="2121"/>
      <c r="M74" s="2120"/>
      <c r="N74" s="2121"/>
      <c r="O74" s="2123"/>
      <c r="Q74" s="2110" t="s">
        <v>2001</v>
      </c>
      <c r="R74" s="2253">
        <f t="shared" si="13"/>
        <v>5.2197802197802234E-2</v>
      </c>
      <c r="S74" s="2253"/>
      <c r="T74" s="2253"/>
      <c r="U74" s="2253"/>
      <c r="V74" s="2253"/>
      <c r="W74" s="2253"/>
    </row>
    <row r="75" spans="1:23" ht="15.75" outlineLevel="1" thickBot="1">
      <c r="A75" s="2102" t="s">
        <v>2002</v>
      </c>
      <c r="B75" s="2121"/>
      <c r="C75" s="2122"/>
      <c r="D75" s="2121">
        <f>'Комплекты опт'!D75-'Полотна опт'!$D$2</f>
        <v>21661.1</v>
      </c>
      <c r="E75" s="2120">
        <f>'Комплекты опт'!E75-'Полотна опт'!$E$2</f>
        <v>23149.5</v>
      </c>
      <c r="F75" s="2121"/>
      <c r="G75" s="2123">
        <f>'Комплекты опт'!G75-'Полотна опт'!$G$2</f>
        <v>25071</v>
      </c>
      <c r="H75" s="669"/>
      <c r="I75" s="2102" t="s">
        <v>2002</v>
      </c>
      <c r="J75" s="2121"/>
      <c r="K75" s="2122"/>
      <c r="L75" s="2121">
        <v>20581.399999999998</v>
      </c>
      <c r="M75" s="2120">
        <v>21996.6</v>
      </c>
      <c r="N75" s="2121"/>
      <c r="O75" s="2123">
        <v>23826.6</v>
      </c>
      <c r="Q75" s="2102" t="s">
        <v>2002</v>
      </c>
      <c r="R75" s="2253"/>
      <c r="S75" s="2253"/>
      <c r="T75" s="2253">
        <f t="shared" ref="T75:T83" si="14">D75/L75-1</f>
        <v>5.2459988144635483E-2</v>
      </c>
      <c r="U75" s="2253">
        <f t="shared" ref="U75:U83" si="15">E75/M75-1</f>
        <v>5.2412645590682372E-2</v>
      </c>
      <c r="V75" s="2253"/>
      <c r="W75" s="2253">
        <f t="shared" ref="W75:W83" si="16">G75/O75-1</f>
        <v>5.2227342549923339E-2</v>
      </c>
    </row>
    <row r="76" spans="1:23" ht="15.75" outlineLevel="1" thickBot="1">
      <c r="A76" s="2103" t="s">
        <v>2003</v>
      </c>
      <c r="B76" s="2121"/>
      <c r="C76" s="2122"/>
      <c r="D76" s="2121">
        <f>'Комплекты опт'!D76-'Полотна опт'!$D$2</f>
        <v>21661.1</v>
      </c>
      <c r="E76" s="2120">
        <f>'Комплекты опт'!E76-'Полотна опт'!$E$2</f>
        <v>23149.5</v>
      </c>
      <c r="F76" s="2121"/>
      <c r="G76" s="2123">
        <f>'Комплекты опт'!G76-'Полотна опт'!$G$2</f>
        <v>25071</v>
      </c>
      <c r="H76" s="669"/>
      <c r="I76" s="2251" t="s">
        <v>2003</v>
      </c>
      <c r="J76" s="2121"/>
      <c r="K76" s="2126"/>
      <c r="L76" s="2121">
        <v>23143.399999999998</v>
      </c>
      <c r="M76" s="2120">
        <v>24558.6</v>
      </c>
      <c r="N76" s="2121"/>
      <c r="O76" s="2123">
        <v>26388.6</v>
      </c>
      <c r="Q76" s="2251" t="s">
        <v>2003</v>
      </c>
      <c r="R76" s="2253"/>
      <c r="S76" s="2253"/>
      <c r="T76" s="2253">
        <f t="shared" si="14"/>
        <v>-6.4048497627833378E-2</v>
      </c>
      <c r="U76" s="2253">
        <f t="shared" si="15"/>
        <v>-5.7377049180327822E-2</v>
      </c>
      <c r="V76" s="2253"/>
      <c r="W76" s="2253">
        <f t="shared" si="16"/>
        <v>-4.9930651872399423E-2</v>
      </c>
    </row>
    <row r="77" spans="1:23" ht="15.75" outlineLevel="1" thickBot="1">
      <c r="A77" s="2103" t="s">
        <v>1050</v>
      </c>
      <c r="B77" s="2121"/>
      <c r="C77" s="2122"/>
      <c r="D77" s="2121">
        <f>'Комплекты опт'!D77-'Полотна опт'!$D$2</f>
        <v>25138.1</v>
      </c>
      <c r="E77" s="2120">
        <f>'Комплекты опт'!E77-'Полотна опт'!$E$2</f>
        <v>26626.5</v>
      </c>
      <c r="F77" s="2121"/>
      <c r="G77" s="2123">
        <f>'Комплекты опт'!G77-'Полотна опт'!$G$2</f>
        <v>28548</v>
      </c>
      <c r="H77" s="669"/>
      <c r="I77" s="2251" t="s">
        <v>1050</v>
      </c>
      <c r="J77" s="2121"/>
      <c r="K77" s="2126"/>
      <c r="L77" s="2121">
        <v>23887.599999999999</v>
      </c>
      <c r="M77" s="2120">
        <v>25302.799999999996</v>
      </c>
      <c r="N77" s="2121"/>
      <c r="O77" s="2123">
        <v>27132.799999999996</v>
      </c>
      <c r="Q77" s="2251" t="s">
        <v>1050</v>
      </c>
      <c r="R77" s="2253"/>
      <c r="S77" s="2253"/>
      <c r="T77" s="2253">
        <f t="shared" si="14"/>
        <v>5.2349336057201157E-2</v>
      </c>
      <c r="U77" s="2253">
        <f t="shared" si="15"/>
        <v>5.2314368370299125E-2</v>
      </c>
      <c r="V77" s="2253"/>
      <c r="W77" s="2253">
        <f t="shared" si="16"/>
        <v>5.2158273381295084E-2</v>
      </c>
    </row>
    <row r="78" spans="1:23" ht="15.75" outlineLevel="1" thickBot="1">
      <c r="A78" s="2103" t="s">
        <v>2004</v>
      </c>
      <c r="B78" s="2121"/>
      <c r="C78" s="2122"/>
      <c r="D78" s="2121">
        <f>'Комплекты опт'!D78-'Полотна опт'!$D$2</f>
        <v>28493.1</v>
      </c>
      <c r="E78" s="2120">
        <f>'Комплекты опт'!E78-'Полотна опт'!$E$2</f>
        <v>29981.5</v>
      </c>
      <c r="F78" s="2121"/>
      <c r="G78" s="2123">
        <f>'Комплекты опт'!G78-'Полотна опт'!$G$2</f>
        <v>31903</v>
      </c>
      <c r="H78" s="669"/>
      <c r="I78" s="2251" t="s">
        <v>2004</v>
      </c>
      <c r="J78" s="2121"/>
      <c r="K78" s="2126"/>
      <c r="L78" s="2121">
        <v>27059.599999999999</v>
      </c>
      <c r="M78" s="2120">
        <v>28474.799999999996</v>
      </c>
      <c r="N78" s="2121"/>
      <c r="O78" s="2123">
        <v>30304.799999999996</v>
      </c>
      <c r="Q78" s="2251" t="s">
        <v>2004</v>
      </c>
      <c r="R78" s="2253"/>
      <c r="S78" s="2253"/>
      <c r="T78" s="2253">
        <f t="shared" si="14"/>
        <v>5.2975653742109996E-2</v>
      </c>
      <c r="U78" s="2253">
        <f t="shared" si="15"/>
        <v>5.2913453299057611E-2</v>
      </c>
      <c r="V78" s="2253"/>
      <c r="W78" s="2253">
        <f t="shared" si="16"/>
        <v>5.2737520128824711E-2</v>
      </c>
    </row>
    <row r="79" spans="1:23" ht="15.75" outlineLevel="1" thickBot="1">
      <c r="A79" s="2103" t="s">
        <v>1051</v>
      </c>
      <c r="B79" s="2121"/>
      <c r="C79" s="2122"/>
      <c r="D79" s="2121">
        <f>'Комплекты опт'!D79-'Полотна опт'!$D$2</f>
        <v>25138.1</v>
      </c>
      <c r="E79" s="2120">
        <f>'Комплекты опт'!E79-'Полотна опт'!$E$2</f>
        <v>26626.5</v>
      </c>
      <c r="F79" s="2121"/>
      <c r="G79" s="2123">
        <f>'Комплекты опт'!G79-'Полотна опт'!$G$2</f>
        <v>28548</v>
      </c>
      <c r="H79" s="669"/>
      <c r="I79" s="2251" t="s">
        <v>1051</v>
      </c>
      <c r="J79" s="2121"/>
      <c r="K79" s="2126"/>
      <c r="L79" s="2121">
        <v>23887.599999999999</v>
      </c>
      <c r="M79" s="2120">
        <v>25302.799999999996</v>
      </c>
      <c r="N79" s="2121"/>
      <c r="O79" s="2123">
        <v>27132.799999999996</v>
      </c>
      <c r="Q79" s="2251" t="s">
        <v>1051</v>
      </c>
      <c r="R79" s="2253"/>
      <c r="S79" s="2253"/>
      <c r="T79" s="2253">
        <f t="shared" si="14"/>
        <v>5.2349336057201157E-2</v>
      </c>
      <c r="U79" s="2253">
        <f t="shared" si="15"/>
        <v>5.2314368370299125E-2</v>
      </c>
      <c r="V79" s="2253"/>
      <c r="W79" s="2253">
        <f t="shared" si="16"/>
        <v>5.2158273381295084E-2</v>
      </c>
    </row>
    <row r="80" spans="1:23" ht="15.75" outlineLevel="1" thickBot="1">
      <c r="A80" s="2106" t="s">
        <v>2005</v>
      </c>
      <c r="B80" s="2121"/>
      <c r="C80" s="2122"/>
      <c r="D80" s="2121">
        <f>'Комплекты опт'!D80-'Полотна опт'!$D$2</f>
        <v>28493.1</v>
      </c>
      <c r="E80" s="2120">
        <f>'Комплекты опт'!E80-'Полотна опт'!$E$2</f>
        <v>31903</v>
      </c>
      <c r="F80" s="2121"/>
      <c r="G80" s="2123">
        <f>'Комплекты опт'!G80-'Полотна опт'!$G$2</f>
        <v>31903</v>
      </c>
      <c r="H80" s="669"/>
      <c r="I80" s="2106" t="s">
        <v>2005</v>
      </c>
      <c r="J80" s="2121"/>
      <c r="K80" s="2136"/>
      <c r="L80" s="2121">
        <v>27059.599999999999</v>
      </c>
      <c r="M80" s="2120">
        <v>30304.799999999996</v>
      </c>
      <c r="N80" s="2121"/>
      <c r="O80" s="2123">
        <v>30304.799999999996</v>
      </c>
      <c r="Q80" s="2106" t="s">
        <v>2005</v>
      </c>
      <c r="R80" s="2253"/>
      <c r="S80" s="2253"/>
      <c r="T80" s="2253">
        <f t="shared" si="14"/>
        <v>5.2975653742109996E-2</v>
      </c>
      <c r="U80" s="2253">
        <f t="shared" si="15"/>
        <v>5.2737520128824711E-2</v>
      </c>
      <c r="V80" s="2253"/>
      <c r="W80" s="2253">
        <f t="shared" si="16"/>
        <v>5.2737520128824711E-2</v>
      </c>
    </row>
    <row r="81" spans="1:23" ht="15.75" outlineLevel="1" thickBot="1">
      <c r="A81" s="2111" t="s">
        <v>2006</v>
      </c>
      <c r="B81" s="2121"/>
      <c r="C81" s="2122"/>
      <c r="D81" s="2121">
        <f>'Комплекты опт'!D81-'Полотна опт'!$D$2</f>
        <v>19831.099999999999</v>
      </c>
      <c r="E81" s="2120">
        <f>'Комплекты опт'!E81-'Полотна опт'!$E$2</f>
        <v>21319.5</v>
      </c>
      <c r="F81" s="2121"/>
      <c r="G81" s="2123">
        <f>'Комплекты опт'!G81-'Полотна опт'!$G$2</f>
        <v>23241</v>
      </c>
      <c r="H81" s="669"/>
      <c r="I81" s="2111" t="s">
        <v>2006</v>
      </c>
      <c r="J81" s="2121"/>
      <c r="K81" s="2122"/>
      <c r="L81" s="2121">
        <v>18861.2</v>
      </c>
      <c r="M81" s="2120">
        <v>20276.399999999998</v>
      </c>
      <c r="N81" s="2121"/>
      <c r="O81" s="2123">
        <v>22106.399999999998</v>
      </c>
      <c r="Q81" s="2111" t="s">
        <v>2006</v>
      </c>
      <c r="R81" s="2253"/>
      <c r="S81" s="2253"/>
      <c r="T81" s="2253">
        <f t="shared" si="14"/>
        <v>5.1423027166882074E-2</v>
      </c>
      <c r="U81" s="2253">
        <f t="shared" si="15"/>
        <v>5.1444043321299704E-2</v>
      </c>
      <c r="V81" s="2253"/>
      <c r="W81" s="2253">
        <f t="shared" si="16"/>
        <v>5.1324503311258374E-2</v>
      </c>
    </row>
    <row r="82" spans="1:23" ht="15.75" outlineLevel="1" thickBot="1">
      <c r="A82" s="2112" t="s">
        <v>2007</v>
      </c>
      <c r="B82" s="2121"/>
      <c r="C82" s="2122"/>
      <c r="D82" s="2121">
        <f>'Комплекты опт'!D82-'Полотна опт'!$D$2</f>
        <v>20319.099999999999</v>
      </c>
      <c r="E82" s="2120">
        <f>'Комплекты опт'!E82-'Полотна опт'!$E$2</f>
        <v>21807.5</v>
      </c>
      <c r="F82" s="2121"/>
      <c r="G82" s="2123">
        <f>'Комплекты опт'!G82-'Полотна опт'!$G$2</f>
        <v>23729</v>
      </c>
      <c r="H82" s="669"/>
      <c r="I82" s="2252" t="s">
        <v>2007</v>
      </c>
      <c r="J82" s="2121"/>
      <c r="K82" s="2126"/>
      <c r="L82" s="2121">
        <v>19312.599999999999</v>
      </c>
      <c r="M82" s="2120">
        <v>20727.8</v>
      </c>
      <c r="N82" s="2121"/>
      <c r="O82" s="2123">
        <v>22557.8</v>
      </c>
      <c r="Q82" s="2252" t="s">
        <v>2007</v>
      </c>
      <c r="R82" s="2253"/>
      <c r="S82" s="2253"/>
      <c r="T82" s="2253">
        <f t="shared" si="14"/>
        <v>5.2116234996841371E-2</v>
      </c>
      <c r="U82" s="2253">
        <f t="shared" si="15"/>
        <v>5.2089464390818074E-2</v>
      </c>
      <c r="V82" s="2253"/>
      <c r="W82" s="2253">
        <f t="shared" si="16"/>
        <v>5.1919956733369466E-2</v>
      </c>
    </row>
    <row r="83" spans="1:23" ht="15.75" outlineLevel="1" thickBot="1">
      <c r="A83" s="2113" t="s">
        <v>681</v>
      </c>
      <c r="B83" s="2121"/>
      <c r="C83" s="2122"/>
      <c r="D83" s="2121">
        <f>'Комплекты опт'!D83-'Полотна опт'!$D$2</f>
        <v>23241</v>
      </c>
      <c r="E83" s="2120">
        <f>'Комплекты опт'!E83-'Полотна опт'!$E$2</f>
        <v>22295.5</v>
      </c>
      <c r="F83" s="2121"/>
      <c r="G83" s="2123">
        <f>'Комплекты опт'!G83-'Полотна опт'!$G$2</f>
        <v>24217</v>
      </c>
      <c r="H83" s="669"/>
      <c r="I83" s="2113" t="s">
        <v>681</v>
      </c>
      <c r="J83" s="2121"/>
      <c r="K83" s="2136"/>
      <c r="L83" s="2121">
        <v>22106.399999999998</v>
      </c>
      <c r="M83" s="2120">
        <v>21179.200000000001</v>
      </c>
      <c r="N83" s="2121"/>
      <c r="O83" s="2123">
        <v>23009.199999999997</v>
      </c>
      <c r="Q83" s="2113" t="s">
        <v>681</v>
      </c>
      <c r="R83" s="2253"/>
      <c r="S83" s="2253"/>
      <c r="T83" s="2253">
        <f t="shared" si="14"/>
        <v>5.1324503311258374E-2</v>
      </c>
      <c r="U83" s="2253">
        <f t="shared" si="15"/>
        <v>5.2707373271889457E-2</v>
      </c>
      <c r="V83" s="2253"/>
      <c r="W83" s="2253">
        <f t="shared" si="16"/>
        <v>5.2492046659597058E-2</v>
      </c>
    </row>
    <row r="84" spans="1:23" ht="15.75" outlineLevel="1" thickBot="1">
      <c r="A84" s="2114" t="s">
        <v>2017</v>
      </c>
      <c r="B84" s="2121">
        <f>'Комплекты опт'!B84-'Полотна опт'!$B$2</f>
        <v>20069</v>
      </c>
      <c r="C84" s="2122"/>
      <c r="D84" s="2121"/>
      <c r="E84" s="2120"/>
      <c r="F84" s="2121"/>
      <c r="G84" s="2123"/>
      <c r="H84" s="669"/>
      <c r="I84" s="2114" t="s">
        <v>2017</v>
      </c>
      <c r="J84" s="2121">
        <v>19105.2</v>
      </c>
      <c r="K84" s="2152"/>
      <c r="L84" s="2163"/>
      <c r="M84" s="2152"/>
      <c r="N84" s="2163"/>
      <c r="O84" s="2164"/>
      <c r="Q84" s="2114" t="s">
        <v>2017</v>
      </c>
      <c r="R84" s="2253">
        <f>B84/J84-1</f>
        <v>5.0446998722860847E-2</v>
      </c>
      <c r="S84" s="2253"/>
      <c r="T84" s="2253"/>
      <c r="U84" s="2253"/>
      <c r="V84" s="2253"/>
      <c r="W84" s="2253"/>
    </row>
    <row r="85" spans="1:23" outlineLevel="1">
      <c r="A85" s="669"/>
      <c r="B85" s="2118"/>
      <c r="C85" s="2118"/>
      <c r="D85" s="2118"/>
      <c r="E85" s="2118"/>
      <c r="F85" s="2118"/>
      <c r="G85" s="2118"/>
      <c r="H85" s="669"/>
      <c r="I85" s="669"/>
      <c r="J85" s="2118"/>
      <c r="K85" s="2118"/>
      <c r="L85" s="2118"/>
      <c r="M85" s="2118"/>
      <c r="N85" s="2118"/>
      <c r="O85" s="2118"/>
      <c r="Q85" s="669"/>
      <c r="R85" s="2118"/>
      <c r="S85" s="2118"/>
      <c r="T85" s="2118"/>
      <c r="U85" s="2118"/>
      <c r="V85" s="2118"/>
      <c r="W85" s="2118"/>
    </row>
    <row r="86" spans="1:23">
      <c r="A86" s="669"/>
      <c r="B86" s="2118"/>
      <c r="C86" s="2118"/>
      <c r="D86" s="2118"/>
      <c r="E86" s="2118"/>
      <c r="F86" s="2118"/>
      <c r="G86" s="2118"/>
      <c r="H86" s="669"/>
      <c r="I86" s="669"/>
      <c r="J86" s="2118"/>
      <c r="K86" s="2118"/>
      <c r="L86" s="2118"/>
      <c r="M86" s="2118"/>
      <c r="N86" s="2118"/>
      <c r="O86" s="2118"/>
      <c r="Q86" s="669"/>
      <c r="R86" s="2118"/>
      <c r="S86" s="2118"/>
      <c r="T86" s="2118"/>
      <c r="U86" s="2118"/>
      <c r="V86" s="2118"/>
      <c r="W86" s="2118"/>
    </row>
    <row r="87" spans="1:23">
      <c r="A87" s="669"/>
      <c r="B87" s="2118"/>
      <c r="C87" s="2118"/>
      <c r="D87" s="2118"/>
      <c r="E87" s="2118"/>
      <c r="F87" s="2118"/>
      <c r="G87" s="2118"/>
      <c r="H87" s="669"/>
      <c r="I87" s="669"/>
      <c r="J87" s="2118"/>
      <c r="K87" s="2118"/>
      <c r="L87" s="2118"/>
      <c r="M87" s="2118"/>
      <c r="N87" s="2118"/>
      <c r="O87" s="2118"/>
      <c r="Q87" s="669"/>
      <c r="R87" s="2118"/>
      <c r="S87" s="2118"/>
      <c r="T87" s="2118"/>
      <c r="U87" s="2118"/>
      <c r="V87" s="2118"/>
      <c r="W87" s="2118"/>
    </row>
    <row r="88" spans="1:23">
      <c r="A88" s="669"/>
      <c r="B88" s="2118"/>
      <c r="C88" s="2118"/>
      <c r="D88" s="2118"/>
      <c r="E88" s="2118"/>
      <c r="F88" s="2118"/>
      <c r="G88" s="2118"/>
      <c r="H88" s="669"/>
      <c r="I88" s="669"/>
      <c r="J88" s="2118"/>
      <c r="K88" s="2118"/>
      <c r="L88" s="2118"/>
      <c r="M88" s="2118"/>
      <c r="N88" s="2118"/>
      <c r="O88" s="2118"/>
      <c r="Q88" s="669"/>
      <c r="R88" s="2118"/>
      <c r="S88" s="2118"/>
      <c r="T88" s="2118"/>
      <c r="U88" s="2118"/>
      <c r="V88" s="2118"/>
      <c r="W88" s="2118"/>
    </row>
    <row r="89" spans="1:23">
      <c r="A89" s="669"/>
      <c r="B89" s="2118"/>
      <c r="C89" s="2118"/>
      <c r="D89" s="2118"/>
      <c r="E89" s="2118"/>
      <c r="F89" s="2118"/>
      <c r="G89" s="2118"/>
      <c r="H89" s="669"/>
      <c r="I89" s="669"/>
      <c r="J89" s="2118"/>
      <c r="K89" s="2118"/>
      <c r="L89" s="2118"/>
      <c r="M89" s="2118"/>
      <c r="N89" s="2118"/>
      <c r="O89" s="2118"/>
      <c r="Q89" s="669"/>
      <c r="R89" s="2118"/>
      <c r="S89" s="2118"/>
      <c r="T89" s="2118"/>
      <c r="U89" s="2118"/>
      <c r="V89" s="2118"/>
      <c r="W89" s="2118"/>
    </row>
    <row r="90" spans="1:23">
      <c r="A90" s="669"/>
      <c r="B90" s="2118"/>
      <c r="C90" s="2118"/>
      <c r="D90" s="2118"/>
      <c r="E90" s="2118"/>
      <c r="F90" s="2118"/>
      <c r="G90" s="2118"/>
      <c r="H90" s="669"/>
      <c r="I90" s="669"/>
      <c r="J90" s="2118"/>
      <c r="K90" s="2118"/>
      <c r="L90" s="2118"/>
      <c r="M90" s="2118"/>
      <c r="N90" s="2118"/>
      <c r="O90" s="2118"/>
      <c r="Q90" s="669"/>
      <c r="R90" s="2118"/>
      <c r="S90" s="2118"/>
      <c r="T90" s="2118"/>
      <c r="U90" s="2118"/>
      <c r="V90" s="2118"/>
      <c r="W90" s="2118"/>
    </row>
    <row r="91" spans="1:23">
      <c r="A91" s="669"/>
      <c r="B91" s="2118"/>
      <c r="C91" s="2118"/>
      <c r="D91" s="2118"/>
      <c r="E91" s="2118"/>
      <c r="F91" s="2118"/>
      <c r="G91" s="2118"/>
      <c r="H91" s="669"/>
      <c r="I91" s="669"/>
      <c r="J91" s="2118"/>
      <c r="K91" s="2118"/>
      <c r="L91" s="2118"/>
      <c r="M91" s="2118"/>
      <c r="N91" s="2118"/>
      <c r="O91" s="2118"/>
      <c r="Q91" s="669"/>
      <c r="R91" s="2118"/>
      <c r="S91" s="2118"/>
      <c r="T91" s="2118"/>
      <c r="U91" s="2118"/>
      <c r="V91" s="2118"/>
      <c r="W91" s="2118"/>
    </row>
  </sheetData>
  <sheetProtection password="E910" sheet="1" objects="1" scenarios="1"/>
  <mergeCells count="15">
    <mergeCell ref="A3:G3"/>
    <mergeCell ref="I3:O3"/>
    <mergeCell ref="Q3:W3"/>
    <mergeCell ref="A5:A7"/>
    <mergeCell ref="B5:G5"/>
    <mergeCell ref="I5:I7"/>
    <mergeCell ref="J5:O5"/>
    <mergeCell ref="Q5:Q7"/>
    <mergeCell ref="R5:W5"/>
    <mergeCell ref="B6:C6"/>
    <mergeCell ref="D6:G6"/>
    <mergeCell ref="J6:K6"/>
    <mergeCell ref="L6:O6"/>
    <mergeCell ref="R6:S6"/>
    <mergeCell ref="T6:W6"/>
  </mergeCells>
  <hyperlinks>
    <hyperlink ref="A1" location="Содержание!A1" display="Вернуться в содержание"/>
    <hyperlink ref="I1" location="Содержание!A1" display="Вернуться в содержание"/>
    <hyperlink ref="Q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N42"/>
  <sheetViews>
    <sheetView topLeftCell="AZ32" zoomScale="80" zoomScaleNormal="80" workbookViewId="0">
      <selection activeCell="J45" sqref="J45"/>
    </sheetView>
  </sheetViews>
  <sheetFormatPr defaultColWidth="9.140625" defaultRowHeight="15" outlineLevelRow="1" outlineLevelCol="1"/>
  <cols>
    <col min="1" max="1" width="14.42578125" style="471" hidden="1" customWidth="1" outlineLevel="1"/>
    <col min="2" max="14" width="9.140625" style="471" hidden="1" customWidth="1" outlineLevel="1"/>
    <col min="15" max="15" width="12.5703125" style="471" hidden="1" customWidth="1" outlineLevel="1"/>
    <col min="16" max="26" width="9.140625" style="471" hidden="1" customWidth="1" outlineLevel="1"/>
    <col min="27" max="27" width="9.140625" style="471" hidden="1" customWidth="1" outlineLevel="1" collapsed="1"/>
    <col min="28" max="39" width="9.140625" style="471" hidden="1" customWidth="1" outlineLevel="1"/>
    <col min="40" max="40" width="0" style="471" hidden="1" customWidth="1" collapsed="1"/>
    <col min="41" max="51" width="0" style="471" hidden="1" customWidth="1"/>
    <col min="52" max="16384" width="9.140625" style="471"/>
  </cols>
  <sheetData>
    <row r="1" spans="1:33">
      <c r="B1" s="2479" t="s">
        <v>2270</v>
      </c>
      <c r="P1" s="2479" t="s">
        <v>2270</v>
      </c>
    </row>
    <row r="2" spans="1:33">
      <c r="B2" s="2871" t="s">
        <v>160</v>
      </c>
      <c r="C2" s="2871"/>
      <c r="D2" s="2871"/>
      <c r="E2" s="2872" t="s">
        <v>529</v>
      </c>
      <c r="F2" s="2872"/>
      <c r="G2" s="2872"/>
      <c r="H2" s="2872"/>
      <c r="P2" s="2871" t="s">
        <v>160</v>
      </c>
      <c r="Q2" s="2871"/>
      <c r="R2" s="2871"/>
      <c r="S2" s="2872" t="s">
        <v>529</v>
      </c>
      <c r="T2" s="2872"/>
      <c r="U2" s="2872"/>
      <c r="V2" s="2872"/>
    </row>
    <row r="3" spans="1:33">
      <c r="B3" s="2481" t="s">
        <v>231</v>
      </c>
      <c r="C3" s="2482" t="s">
        <v>207</v>
      </c>
      <c r="D3" s="2481" t="s">
        <v>1978</v>
      </c>
      <c r="E3" s="2482" t="s">
        <v>1281</v>
      </c>
      <c r="F3" s="2481" t="s">
        <v>1287</v>
      </c>
      <c r="G3" s="2482" t="s">
        <v>1806</v>
      </c>
      <c r="H3" s="2481" t="s">
        <v>1293</v>
      </c>
      <c r="P3" s="2481" t="s">
        <v>231</v>
      </c>
      <c r="Q3" s="2482" t="s">
        <v>207</v>
      </c>
      <c r="R3" s="2481" t="s">
        <v>1978</v>
      </c>
      <c r="S3" s="2482" t="s">
        <v>1281</v>
      </c>
      <c r="T3" s="2481" t="s">
        <v>1287</v>
      </c>
      <c r="U3" s="2482" t="s">
        <v>1806</v>
      </c>
      <c r="V3" s="2481" t="s">
        <v>1293</v>
      </c>
    </row>
    <row r="4" spans="1:33">
      <c r="B4" s="2483"/>
      <c r="C4" s="2484">
        <f>C32*2.5+E32*5</f>
        <v>7884.25</v>
      </c>
      <c r="D4" s="2484">
        <f>C4</f>
        <v>7884.25</v>
      </c>
      <c r="E4" s="2484">
        <f>C33*2.5+E33*5</f>
        <v>8387.5</v>
      </c>
      <c r="F4" s="2484">
        <f>C34*2.5+E34*5</f>
        <v>8997.5</v>
      </c>
      <c r="G4" s="2484">
        <f>C35*2.5+E35*5</f>
        <v>9455</v>
      </c>
      <c r="H4" s="2484">
        <f>C36*2.5+E36*5</f>
        <v>9836.25</v>
      </c>
      <c r="I4" s="13"/>
      <c r="J4" s="5"/>
      <c r="O4" s="2480"/>
      <c r="P4" s="2483"/>
      <c r="Q4" s="2484">
        <f>P32*2.5+R32*5</f>
        <v>8265.5</v>
      </c>
      <c r="R4" s="2484">
        <f>Q4</f>
        <v>8265.5</v>
      </c>
      <c r="S4" s="2484">
        <f>P33*2.5+R33*5</f>
        <v>8768.75</v>
      </c>
      <c r="T4" s="2484">
        <f>P34*2.5+R34*5</f>
        <v>9531.25</v>
      </c>
      <c r="U4" s="2484">
        <f>P35*2.5+R35*5</f>
        <v>9836.25</v>
      </c>
      <c r="V4" s="2484">
        <f>P36*2.5+R36*5</f>
        <v>10217.5</v>
      </c>
      <c r="W4" s="2116"/>
      <c r="X4" s="2116"/>
      <c r="Y4" s="2117"/>
      <c r="Z4" s="2117"/>
      <c r="AA4" s="211"/>
      <c r="AB4" s="211"/>
      <c r="AC4" s="211"/>
      <c r="AD4" s="211"/>
      <c r="AE4" s="211"/>
      <c r="AF4" s="211"/>
      <c r="AG4" s="211"/>
    </row>
    <row r="6" spans="1:33" hidden="1" outlineLevel="1">
      <c r="A6" s="65" t="s">
        <v>872</v>
      </c>
    </row>
    <row r="7" spans="1:33" hidden="1" outlineLevel="1">
      <c r="A7" s="471" t="s">
        <v>2064</v>
      </c>
      <c r="N7" s="65" t="s">
        <v>2067</v>
      </c>
    </row>
    <row r="8" spans="1:33" hidden="1" outlineLevel="1"/>
    <row r="9" spans="1:33" hidden="1" outlineLevel="1"/>
    <row r="10" spans="1:33" hidden="1" outlineLevel="1"/>
    <row r="11" spans="1:33" hidden="1" outlineLevel="1"/>
    <row r="12" spans="1:33" hidden="1" outlineLevel="1"/>
    <row r="13" spans="1:33" hidden="1" outlineLevel="1"/>
    <row r="14" spans="1:33" hidden="1" outlineLevel="1"/>
    <row r="15" spans="1:33" hidden="1" outlineLevel="1"/>
    <row r="16" spans="1:33" hidden="1" outlineLevel="1"/>
    <row r="17" spans="1:25" hidden="1" outlineLevel="1"/>
    <row r="18" spans="1:25" hidden="1" outlineLevel="1"/>
    <row r="19" spans="1:25" hidden="1" outlineLevel="1"/>
    <row r="20" spans="1:25" hidden="1" outlineLevel="1"/>
    <row r="21" spans="1:25" hidden="1" outlineLevel="1"/>
    <row r="22" spans="1:25" hidden="1" outlineLevel="1"/>
    <row r="23" spans="1:25" hidden="1" outlineLevel="1"/>
    <row r="24" spans="1:25" hidden="1" outlineLevel="1"/>
    <row r="25" spans="1:25" hidden="1" outlineLevel="1"/>
    <row r="26" spans="1:25" hidden="1" outlineLevel="1"/>
    <row r="27" spans="1:25" hidden="1" outlineLevel="1"/>
    <row r="28" spans="1:25" hidden="1" outlineLevel="1"/>
    <row r="29" spans="1:25" hidden="1" outlineLevel="1"/>
    <row r="30" spans="1:25" hidden="1" outlineLevel="1"/>
    <row r="31" spans="1:25" hidden="1" outlineLevel="1"/>
    <row r="32" spans="1:25" collapsed="1">
      <c r="A32" s="471" t="s">
        <v>28</v>
      </c>
      <c r="B32" s="471" t="s">
        <v>207</v>
      </c>
      <c r="C32" s="2414">
        <v>1494.5</v>
      </c>
      <c r="D32" s="2414">
        <v>829.6</v>
      </c>
      <c r="E32" s="2414">
        <v>829.6</v>
      </c>
      <c r="F32" s="2414">
        <v>951.6</v>
      </c>
      <c r="G32" s="2414">
        <v>951.6</v>
      </c>
      <c r="H32" s="2414">
        <v>1049.2</v>
      </c>
      <c r="I32" s="2414">
        <v>1305.3999999999999</v>
      </c>
      <c r="J32" s="2414">
        <v>829.6</v>
      </c>
      <c r="K32" s="2414">
        <v>1305.3999999999999</v>
      </c>
      <c r="L32" s="2414">
        <v>146.4</v>
      </c>
      <c r="N32" s="471" t="s">
        <v>28</v>
      </c>
      <c r="O32" s="471" t="s">
        <v>207</v>
      </c>
      <c r="P32" s="1205">
        <v>1573.8</v>
      </c>
      <c r="Q32" s="1205">
        <v>866.19999999999993</v>
      </c>
      <c r="R32" s="1205">
        <v>866.19999999999993</v>
      </c>
      <c r="S32" s="1205">
        <v>1000.4</v>
      </c>
      <c r="T32" s="1205">
        <v>1000.4</v>
      </c>
      <c r="U32" s="1205">
        <v>1104.0999999999999</v>
      </c>
      <c r="V32" s="1205">
        <v>1384.7</v>
      </c>
      <c r="W32" s="1205">
        <v>866.19999999999993</v>
      </c>
      <c r="X32" s="1205">
        <v>1348.1</v>
      </c>
      <c r="Y32" s="1205">
        <v>158.6</v>
      </c>
    </row>
    <row r="33" spans="1:25">
      <c r="A33" s="471" t="s">
        <v>25</v>
      </c>
      <c r="B33" s="471" t="s">
        <v>1292</v>
      </c>
      <c r="C33" s="2414">
        <v>1586</v>
      </c>
      <c r="D33" s="2414">
        <v>884.5</v>
      </c>
      <c r="E33" s="2414">
        <v>884.5</v>
      </c>
      <c r="F33" s="2414">
        <v>1006.5</v>
      </c>
      <c r="G33" s="2414">
        <v>1006.5</v>
      </c>
      <c r="H33" s="2414">
        <v>1128.5</v>
      </c>
      <c r="I33" s="2414">
        <v>1372.5</v>
      </c>
      <c r="J33" s="2414">
        <v>884.5</v>
      </c>
      <c r="K33" s="2414">
        <v>1372.5</v>
      </c>
      <c r="L33" s="2414">
        <v>158.6</v>
      </c>
      <c r="N33" s="471" t="s">
        <v>25</v>
      </c>
      <c r="O33" s="471" t="s">
        <v>1292</v>
      </c>
      <c r="P33" s="1205">
        <v>1677.5</v>
      </c>
      <c r="Q33" s="1205">
        <v>915</v>
      </c>
      <c r="R33" s="1205">
        <v>915</v>
      </c>
      <c r="S33" s="1205">
        <v>1067.5</v>
      </c>
      <c r="T33" s="1205">
        <v>1067.5</v>
      </c>
      <c r="U33" s="1205">
        <v>1189.5</v>
      </c>
      <c r="V33" s="1205">
        <v>1464</v>
      </c>
      <c r="W33" s="1205">
        <v>915</v>
      </c>
      <c r="X33" s="1205">
        <v>1433.5</v>
      </c>
      <c r="Y33" s="1205">
        <v>170.79999999999998</v>
      </c>
    </row>
    <row r="34" spans="1:25">
      <c r="B34" s="471" t="s">
        <v>1287</v>
      </c>
      <c r="C34" s="2414">
        <v>1708</v>
      </c>
      <c r="D34" s="2414">
        <v>945.5</v>
      </c>
      <c r="E34" s="2414">
        <v>945.5</v>
      </c>
      <c r="F34" s="2414">
        <v>1098</v>
      </c>
      <c r="G34" s="2414">
        <v>1098</v>
      </c>
      <c r="H34" s="2414">
        <v>1189.5</v>
      </c>
      <c r="I34" s="2414">
        <v>1494.5</v>
      </c>
      <c r="J34" s="2414">
        <v>945.5</v>
      </c>
      <c r="K34" s="2414">
        <v>1494.5</v>
      </c>
      <c r="L34" s="2414">
        <v>170.79999999999998</v>
      </c>
      <c r="O34" s="471" t="s">
        <v>1287</v>
      </c>
      <c r="P34" s="1205">
        <v>1799.5</v>
      </c>
      <c r="Q34" s="1205">
        <v>1006.5</v>
      </c>
      <c r="R34" s="1205">
        <v>1006.5</v>
      </c>
      <c r="S34" s="1205">
        <v>1159</v>
      </c>
      <c r="T34" s="1205">
        <v>1159</v>
      </c>
      <c r="U34" s="1205">
        <v>1250.5</v>
      </c>
      <c r="V34" s="1205">
        <v>1586</v>
      </c>
      <c r="W34" s="1205">
        <v>1006.5</v>
      </c>
      <c r="X34" s="1205">
        <v>1525</v>
      </c>
      <c r="Y34" s="1205">
        <v>183</v>
      </c>
    </row>
    <row r="35" spans="1:25">
      <c r="B35" s="471" t="s">
        <v>1806</v>
      </c>
      <c r="C35" s="2414">
        <v>1769</v>
      </c>
      <c r="D35" s="2414">
        <v>1006.5</v>
      </c>
      <c r="E35" s="2414">
        <v>1006.5</v>
      </c>
      <c r="F35" s="2414">
        <v>1128.5</v>
      </c>
      <c r="G35" s="2414">
        <v>1128.5</v>
      </c>
      <c r="H35" s="2414">
        <v>1250.5</v>
      </c>
      <c r="I35" s="2414">
        <v>1555.5</v>
      </c>
      <c r="J35" s="2414">
        <v>1006.5</v>
      </c>
      <c r="K35" s="2414">
        <v>1555.5</v>
      </c>
      <c r="L35" s="2414">
        <v>176.9</v>
      </c>
      <c r="O35" s="471" t="s">
        <v>1806</v>
      </c>
      <c r="P35" s="1205">
        <v>1860.5</v>
      </c>
      <c r="Q35" s="1205">
        <v>1037</v>
      </c>
      <c r="R35" s="1205">
        <v>1037</v>
      </c>
      <c r="S35" s="1205">
        <v>1189.5</v>
      </c>
      <c r="T35" s="1205">
        <v>1189.5</v>
      </c>
      <c r="U35" s="1205">
        <v>1311.5</v>
      </c>
      <c r="V35" s="1205">
        <v>1647</v>
      </c>
      <c r="W35" s="1205">
        <v>1037</v>
      </c>
      <c r="X35" s="1205">
        <v>1616.5</v>
      </c>
      <c r="Y35" s="1205">
        <v>189.1</v>
      </c>
    </row>
    <row r="36" spans="1:25">
      <c r="B36" s="471" t="s">
        <v>1294</v>
      </c>
      <c r="C36" s="2414">
        <v>1860.5</v>
      </c>
      <c r="D36" s="2414">
        <v>1037</v>
      </c>
      <c r="E36" s="2414">
        <v>1037</v>
      </c>
      <c r="F36" s="2414">
        <v>1189.5</v>
      </c>
      <c r="G36" s="2414">
        <v>1189.5</v>
      </c>
      <c r="H36" s="2414">
        <v>1311.5</v>
      </c>
      <c r="I36" s="2414">
        <v>1616.5</v>
      </c>
      <c r="J36" s="2414">
        <v>1037</v>
      </c>
      <c r="K36" s="2414">
        <v>1616.5</v>
      </c>
      <c r="L36" s="2414">
        <v>183</v>
      </c>
      <c r="O36" s="471" t="s">
        <v>1294</v>
      </c>
      <c r="P36" s="1205">
        <v>1952</v>
      </c>
      <c r="Q36" s="1205">
        <v>1067.5</v>
      </c>
      <c r="R36" s="1205">
        <v>1067.5</v>
      </c>
      <c r="S36" s="1205">
        <v>1250.5</v>
      </c>
      <c r="T36" s="1205">
        <v>1250.5</v>
      </c>
      <c r="U36" s="1205">
        <v>1372.5</v>
      </c>
      <c r="V36" s="1205">
        <v>1708</v>
      </c>
      <c r="W36" s="1205">
        <v>1067.5</v>
      </c>
      <c r="X36" s="1205">
        <v>1677.5</v>
      </c>
      <c r="Y36" s="1205">
        <v>195.2</v>
      </c>
    </row>
    <row r="38" spans="1:25">
      <c r="P38" s="333">
        <f>P32/C32-1</f>
        <v>5.3061224489795888E-2</v>
      </c>
      <c r="Q38" s="333">
        <f t="shared" ref="Q38:Y42" si="0">Q32/D32-1</f>
        <v>4.4117647058823373E-2</v>
      </c>
      <c r="R38" s="333">
        <f t="shared" si="0"/>
        <v>4.4117647058823373E-2</v>
      </c>
      <c r="S38" s="333">
        <f t="shared" si="0"/>
        <v>5.1282051282051322E-2</v>
      </c>
      <c r="T38" s="333">
        <f t="shared" si="0"/>
        <v>5.1282051282051322E-2</v>
      </c>
      <c r="U38" s="333">
        <f t="shared" si="0"/>
        <v>5.2325581395348708E-2</v>
      </c>
      <c r="V38" s="333">
        <f t="shared" si="0"/>
        <v>6.0747663551401931E-2</v>
      </c>
      <c r="W38" s="333">
        <f t="shared" si="0"/>
        <v>4.4117647058823373E-2</v>
      </c>
      <c r="X38" s="333">
        <f t="shared" si="0"/>
        <v>3.2710280373831724E-2</v>
      </c>
      <c r="Y38" s="333">
        <f t="shared" si="0"/>
        <v>8.3333333333333259E-2</v>
      </c>
    </row>
    <row r="39" spans="1:25">
      <c r="P39" s="333">
        <f t="shared" ref="P39:P41" si="1">P33/C33-1</f>
        <v>5.7692307692307709E-2</v>
      </c>
      <c r="Q39" s="333">
        <f t="shared" si="0"/>
        <v>3.4482758620689724E-2</v>
      </c>
      <c r="R39" s="333">
        <f t="shared" si="0"/>
        <v>3.4482758620689724E-2</v>
      </c>
      <c r="S39" s="333">
        <f t="shared" si="0"/>
        <v>6.0606060606060552E-2</v>
      </c>
      <c r="T39" s="333">
        <f t="shared" si="0"/>
        <v>6.0606060606060552E-2</v>
      </c>
      <c r="U39" s="333">
        <f t="shared" si="0"/>
        <v>5.4054054054053946E-2</v>
      </c>
      <c r="V39" s="333">
        <f t="shared" si="0"/>
        <v>6.6666666666666652E-2</v>
      </c>
      <c r="W39" s="333">
        <f t="shared" si="0"/>
        <v>3.4482758620689724E-2</v>
      </c>
      <c r="X39" s="333">
        <f t="shared" si="0"/>
        <v>4.4444444444444509E-2</v>
      </c>
      <c r="Y39" s="333">
        <f t="shared" si="0"/>
        <v>7.6923076923076872E-2</v>
      </c>
    </row>
    <row r="40" spans="1:25">
      <c r="P40" s="333">
        <f t="shared" si="1"/>
        <v>5.3571428571428603E-2</v>
      </c>
      <c r="Q40" s="333">
        <f t="shared" si="0"/>
        <v>6.4516129032258007E-2</v>
      </c>
      <c r="R40" s="333">
        <f t="shared" si="0"/>
        <v>6.4516129032258007E-2</v>
      </c>
      <c r="S40" s="333">
        <f t="shared" si="0"/>
        <v>5.555555555555558E-2</v>
      </c>
      <c r="T40" s="333">
        <f t="shared" si="0"/>
        <v>5.555555555555558E-2</v>
      </c>
      <c r="U40" s="333">
        <f t="shared" si="0"/>
        <v>5.1282051282051322E-2</v>
      </c>
      <c r="V40" s="333">
        <f t="shared" si="0"/>
        <v>6.1224489795918435E-2</v>
      </c>
      <c r="W40" s="333">
        <f t="shared" si="0"/>
        <v>6.4516129032258007E-2</v>
      </c>
      <c r="X40" s="333">
        <f t="shared" si="0"/>
        <v>2.0408163265306145E-2</v>
      </c>
      <c r="Y40" s="333">
        <f t="shared" si="0"/>
        <v>7.1428571428571619E-2</v>
      </c>
    </row>
    <row r="41" spans="1:25">
      <c r="P41" s="333">
        <f t="shared" si="1"/>
        <v>5.1724137931034475E-2</v>
      </c>
      <c r="Q41" s="333">
        <f t="shared" si="0"/>
        <v>3.0303030303030276E-2</v>
      </c>
      <c r="R41" s="333">
        <f t="shared" si="0"/>
        <v>3.0303030303030276E-2</v>
      </c>
      <c r="S41" s="333">
        <f t="shared" si="0"/>
        <v>5.4054054054053946E-2</v>
      </c>
      <c r="T41" s="333">
        <f t="shared" si="0"/>
        <v>5.4054054054053946E-2</v>
      </c>
      <c r="U41" s="333">
        <f t="shared" si="0"/>
        <v>4.8780487804878092E-2</v>
      </c>
      <c r="V41" s="333">
        <f t="shared" si="0"/>
        <v>5.8823529411764719E-2</v>
      </c>
      <c r="W41" s="333">
        <f t="shared" si="0"/>
        <v>3.0303030303030276E-2</v>
      </c>
      <c r="X41" s="333">
        <f t="shared" si="0"/>
        <v>3.9215686274509887E-2</v>
      </c>
      <c r="Y41" s="333">
        <f t="shared" si="0"/>
        <v>6.8965517241379226E-2</v>
      </c>
    </row>
    <row r="42" spans="1:25">
      <c r="P42" s="333">
        <f>P36/C36-1</f>
        <v>4.9180327868852514E-2</v>
      </c>
      <c r="Q42" s="333">
        <f t="shared" si="0"/>
        <v>2.9411764705882248E-2</v>
      </c>
      <c r="R42" s="333">
        <f t="shared" si="0"/>
        <v>2.9411764705882248E-2</v>
      </c>
      <c r="S42" s="333">
        <f t="shared" si="0"/>
        <v>5.1282051282051322E-2</v>
      </c>
      <c r="T42" s="333">
        <f t="shared" si="0"/>
        <v>5.1282051282051322E-2</v>
      </c>
      <c r="U42" s="333">
        <f t="shared" si="0"/>
        <v>4.6511627906976827E-2</v>
      </c>
      <c r="V42" s="333">
        <f t="shared" si="0"/>
        <v>5.6603773584905648E-2</v>
      </c>
      <c r="W42" s="333">
        <f t="shared" si="0"/>
        <v>2.9411764705882248E-2</v>
      </c>
      <c r="X42" s="333">
        <f t="shared" si="0"/>
        <v>3.7735849056603765E-2</v>
      </c>
      <c r="Y42" s="333">
        <f t="shared" si="0"/>
        <v>6.6666666666666652E-2</v>
      </c>
    </row>
  </sheetData>
  <sheetProtection password="E910" sheet="1" objects="1" scenarios="1"/>
  <mergeCells count="4">
    <mergeCell ref="B2:D2"/>
    <mergeCell ref="E2:H2"/>
    <mergeCell ref="P2:R2"/>
    <mergeCell ref="S2:V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AD91"/>
  <sheetViews>
    <sheetView view="pageBreakPreview" topLeftCell="Y1" zoomScale="115" zoomScaleNormal="100" zoomScaleSheetLayoutView="115" workbookViewId="0">
      <selection activeCell="P1" sqref="P1:X1048576"/>
    </sheetView>
  </sheetViews>
  <sheetFormatPr defaultColWidth="9.140625" defaultRowHeight="15" outlineLevelCol="1"/>
  <cols>
    <col min="1" max="1" width="20.140625" style="471" hidden="1" customWidth="1" outlineLevel="1"/>
    <col min="2" max="7" width="9.140625" style="2119" hidden="1" customWidth="1" outlineLevel="1"/>
    <col min="8" max="8" width="7.5703125" style="471" hidden="1" customWidth="1" outlineLevel="1"/>
    <col min="9" max="9" width="20.140625" style="471" hidden="1" customWidth="1" outlineLevel="1"/>
    <col min="10" max="15" width="9.140625" style="2119" hidden="1" customWidth="1" outlineLevel="1"/>
    <col min="16" max="16" width="0" style="471" hidden="1" customWidth="1" outlineLevel="1"/>
    <col min="17" max="17" width="20.140625" style="471" hidden="1" customWidth="1" outlineLevel="1"/>
    <col min="18" max="23" width="9.140625" style="2119" hidden="1" customWidth="1" outlineLevel="1"/>
    <col min="24" max="24" width="0" style="471" hidden="1" customWidth="1" outlineLevel="1"/>
    <col min="25" max="25" width="9.140625" style="471" collapsed="1"/>
    <col min="26" max="16384" width="9.140625" style="471"/>
  </cols>
  <sheetData>
    <row r="1" spans="1:30" s="11" customFormat="1" ht="18" customHeight="1">
      <c r="A1" s="2165" t="s">
        <v>307</v>
      </c>
      <c r="B1" s="2115"/>
      <c r="C1" s="2115"/>
      <c r="D1" s="2115"/>
      <c r="E1" s="2115"/>
      <c r="F1" s="24"/>
      <c r="G1" s="24"/>
      <c r="H1" s="24"/>
      <c r="I1" s="2165" t="s">
        <v>2064</v>
      </c>
      <c r="J1" s="2115"/>
      <c r="K1" s="2115"/>
      <c r="L1" s="2115"/>
      <c r="M1" s="2115"/>
      <c r="N1" s="24"/>
      <c r="O1" s="24"/>
      <c r="P1" s="319"/>
      <c r="Q1" s="2165" t="s">
        <v>2065</v>
      </c>
      <c r="R1" s="2115"/>
      <c r="S1" s="2115"/>
      <c r="T1" s="2115"/>
      <c r="U1" s="2115"/>
      <c r="V1" s="24"/>
      <c r="W1" s="24"/>
      <c r="X1" s="319"/>
      <c r="Y1" s="319"/>
      <c r="Z1" s="319"/>
      <c r="AA1" s="319"/>
      <c r="AB1" s="319"/>
    </row>
    <row r="2" spans="1:30" ht="18" customHeight="1">
      <c r="A2" s="5"/>
      <c r="B2" s="2116"/>
      <c r="C2" s="2116"/>
      <c r="D2" s="2116"/>
      <c r="E2" s="2116"/>
      <c r="F2" s="2117"/>
      <c r="G2" s="2117"/>
      <c r="H2" s="13"/>
      <c r="I2" s="5"/>
      <c r="J2" s="2116"/>
      <c r="K2" s="2116"/>
      <c r="L2" s="2116"/>
      <c r="M2" s="2116"/>
      <c r="N2" s="2117"/>
      <c r="O2" s="2117"/>
      <c r="P2" s="211"/>
      <c r="Q2" s="5"/>
      <c r="R2" s="2116"/>
      <c r="S2" s="2116"/>
      <c r="T2" s="2116"/>
      <c r="U2" s="2116"/>
      <c r="V2" s="2117"/>
      <c r="W2" s="2117"/>
      <c r="X2" s="211"/>
      <c r="Y2" s="211"/>
      <c r="Z2" s="211"/>
      <c r="AA2" s="211"/>
      <c r="AB2" s="211"/>
      <c r="AC2" s="211"/>
      <c r="AD2" s="211"/>
    </row>
    <row r="3" spans="1:30" ht="68.25" customHeight="1">
      <c r="A3" s="2856" t="s">
        <v>2030</v>
      </c>
      <c r="B3" s="2857"/>
      <c r="C3" s="2857"/>
      <c r="D3" s="2857"/>
      <c r="E3" s="2857"/>
      <c r="F3" s="2857"/>
      <c r="G3" s="2858"/>
      <c r="H3" s="211"/>
      <c r="I3" s="2859" t="s">
        <v>2030</v>
      </c>
      <c r="J3" s="2857"/>
      <c r="K3" s="2857"/>
      <c r="L3" s="2857"/>
      <c r="M3" s="2857"/>
      <c r="N3" s="2857"/>
      <c r="O3" s="2860"/>
      <c r="P3" s="211"/>
      <c r="Q3" s="2859" t="s">
        <v>2030</v>
      </c>
      <c r="R3" s="2857"/>
      <c r="S3" s="2857"/>
      <c r="T3" s="2857"/>
      <c r="U3" s="2857"/>
      <c r="V3" s="2857"/>
      <c r="W3" s="2860"/>
      <c r="X3" s="211"/>
      <c r="Y3" s="211"/>
      <c r="Z3" s="211"/>
      <c r="AA3" s="211"/>
      <c r="AB3" s="211"/>
      <c r="AC3" s="211"/>
      <c r="AD3" s="211"/>
    </row>
    <row r="5" spans="1:30">
      <c r="A5" s="2861" t="s">
        <v>1977</v>
      </c>
      <c r="B5" s="2864"/>
      <c r="C5" s="2864"/>
      <c r="D5" s="2864"/>
      <c r="E5" s="2864"/>
      <c r="F5" s="2864"/>
      <c r="G5" s="2865"/>
      <c r="H5" s="2248"/>
      <c r="I5" s="2861" t="s">
        <v>1977</v>
      </c>
      <c r="J5" s="2864"/>
      <c r="K5" s="2864"/>
      <c r="L5" s="2864"/>
      <c r="M5" s="2864"/>
      <c r="N5" s="2864"/>
      <c r="O5" s="2866"/>
      <c r="Q5" s="2861" t="s">
        <v>1977</v>
      </c>
      <c r="R5" s="2864"/>
      <c r="S5" s="2864"/>
      <c r="T5" s="2864"/>
      <c r="U5" s="2864"/>
      <c r="V5" s="2864"/>
      <c r="W5" s="2866"/>
    </row>
    <row r="6" spans="1:30">
      <c r="A6" s="2862"/>
      <c r="B6" s="2867"/>
      <c r="C6" s="2868"/>
      <c r="D6" s="2869" t="s">
        <v>529</v>
      </c>
      <c r="E6" s="2869"/>
      <c r="F6" s="2869"/>
      <c r="G6" s="2869"/>
      <c r="H6" s="2248"/>
      <c r="I6" s="2862"/>
      <c r="J6" s="2867"/>
      <c r="K6" s="2870"/>
      <c r="L6" s="2869" t="s">
        <v>529</v>
      </c>
      <c r="M6" s="2869"/>
      <c r="N6" s="2869"/>
      <c r="O6" s="2869"/>
      <c r="Q6" s="2862"/>
      <c r="R6" s="2867"/>
      <c r="S6" s="2870"/>
      <c r="T6" s="2869" t="s">
        <v>529</v>
      </c>
      <c r="U6" s="2869"/>
      <c r="V6" s="2869"/>
      <c r="W6" s="2869"/>
    </row>
    <row r="7" spans="1:30" ht="15.75" thickBot="1">
      <c r="A7" s="2863"/>
      <c r="B7" s="2094" t="s">
        <v>207</v>
      </c>
      <c r="C7" s="2093" t="s">
        <v>1978</v>
      </c>
      <c r="D7" s="2094" t="s">
        <v>1281</v>
      </c>
      <c r="E7" s="2093" t="s">
        <v>1287</v>
      </c>
      <c r="F7" s="2094" t="s">
        <v>1806</v>
      </c>
      <c r="G7" s="2093" t="s">
        <v>1293</v>
      </c>
      <c r="H7" s="2248"/>
      <c r="I7" s="2863"/>
      <c r="J7" s="2094" t="s">
        <v>207</v>
      </c>
      <c r="K7" s="2093" t="s">
        <v>1978</v>
      </c>
      <c r="L7" s="2094" t="s">
        <v>1281</v>
      </c>
      <c r="M7" s="2093" t="s">
        <v>1287</v>
      </c>
      <c r="N7" s="2094" t="s">
        <v>1806</v>
      </c>
      <c r="O7" s="2093" t="s">
        <v>1293</v>
      </c>
      <c r="Q7" s="2863"/>
      <c r="R7" s="2094" t="s">
        <v>207</v>
      </c>
      <c r="S7" s="2093" t="s">
        <v>1978</v>
      </c>
      <c r="T7" s="2094" t="s">
        <v>1281</v>
      </c>
      <c r="U7" s="2093" t="s">
        <v>1287</v>
      </c>
      <c r="V7" s="2094" t="s">
        <v>1806</v>
      </c>
      <c r="W7" s="2093" t="s">
        <v>1293</v>
      </c>
    </row>
    <row r="8" spans="1:30" ht="15.75" thickBot="1">
      <c r="A8" s="2095" t="s">
        <v>2018</v>
      </c>
      <c r="B8" s="2121">
        <f>Комплекты!B8*0.61</f>
        <v>19855.5</v>
      </c>
      <c r="C8" s="2122"/>
      <c r="D8" s="2121">
        <f>Комплекты!D8*0.61</f>
        <v>21621.45</v>
      </c>
      <c r="E8" s="2120">
        <f>Комплекты!E8*0.61</f>
        <v>23347.75</v>
      </c>
      <c r="F8" s="2121">
        <f>Комплекты!F8*0.61</f>
        <v>24274.95</v>
      </c>
      <c r="G8" s="2123">
        <f>Комплекты!G8*0.61</f>
        <v>25278.399999999998</v>
      </c>
      <c r="H8" s="2248"/>
      <c r="I8" s="2095" t="s">
        <v>2018</v>
      </c>
      <c r="J8" s="2121">
        <v>18900.849999999999</v>
      </c>
      <c r="K8" s="2122"/>
      <c r="L8" s="2121">
        <v>20630.2</v>
      </c>
      <c r="M8" s="2120">
        <v>22155.200000000001</v>
      </c>
      <c r="N8" s="2121">
        <v>23210.5</v>
      </c>
      <c r="O8" s="2123">
        <v>24183.45</v>
      </c>
      <c r="Q8" s="2095" t="s">
        <v>2018</v>
      </c>
      <c r="R8" s="2253">
        <f>B8/J8-1</f>
        <v>5.0508310472809459E-2</v>
      </c>
      <c r="S8" s="2253"/>
      <c r="T8" s="2253">
        <f t="shared" ref="T8:W9" si="0">D8/L8-1</f>
        <v>4.8048492016558253E-2</v>
      </c>
      <c r="U8" s="2253">
        <f t="shared" si="0"/>
        <v>5.3827092511013142E-2</v>
      </c>
      <c r="V8" s="2253">
        <f t="shared" si="0"/>
        <v>4.5860709592641324E-2</v>
      </c>
      <c r="W8" s="2253">
        <f t="shared" si="0"/>
        <v>4.5276831882961055E-2</v>
      </c>
    </row>
    <row r="9" spans="1:30" ht="15.75" thickBot="1">
      <c r="A9" s="2096" t="s">
        <v>2019</v>
      </c>
      <c r="B9" s="2125">
        <f>Комплекты!B9*0.61</f>
        <v>28395.5</v>
      </c>
      <c r="C9" s="2126"/>
      <c r="D9" s="2125">
        <f>Комплекты!D9*0.61</f>
        <v>29691.75</v>
      </c>
      <c r="E9" s="2124">
        <f>Комплекты!E9*0.61</f>
        <v>31155.75</v>
      </c>
      <c r="F9" s="2125">
        <f>Комплекты!F9*0.61</f>
        <v>31948.75</v>
      </c>
      <c r="G9" s="2127">
        <f>Комплекты!G9*0.61</f>
        <v>32787.5</v>
      </c>
      <c r="H9" s="2248"/>
      <c r="I9" s="2249" t="s">
        <v>2019</v>
      </c>
      <c r="J9" s="2125">
        <v>26992.5</v>
      </c>
      <c r="K9" s="2126"/>
      <c r="L9" s="2125">
        <v>28304</v>
      </c>
      <c r="M9" s="2124">
        <v>29585</v>
      </c>
      <c r="N9" s="2125">
        <v>30500</v>
      </c>
      <c r="O9" s="2127">
        <v>31308.25</v>
      </c>
      <c r="Q9" s="2249" t="s">
        <v>2019</v>
      </c>
      <c r="R9" s="2253">
        <f>B9/J9-1</f>
        <v>5.1977401129943424E-2</v>
      </c>
      <c r="S9" s="2253"/>
      <c r="T9" s="2253">
        <f t="shared" si="0"/>
        <v>4.9030172413793149E-2</v>
      </c>
      <c r="U9" s="2253">
        <f t="shared" si="0"/>
        <v>5.3092783505154673E-2</v>
      </c>
      <c r="V9" s="2253">
        <f t="shared" si="0"/>
        <v>4.7500000000000098E-2</v>
      </c>
      <c r="W9" s="2253">
        <f t="shared" si="0"/>
        <v>4.7247929858743376E-2</v>
      </c>
    </row>
    <row r="10" spans="1:30" ht="15.75" thickBot="1">
      <c r="A10" s="2096" t="s">
        <v>2020</v>
      </c>
      <c r="B10" s="2125"/>
      <c r="C10" s="2126"/>
      <c r="D10" s="2128"/>
      <c r="E10" s="2126"/>
      <c r="F10" s="2128"/>
      <c r="G10" s="2129"/>
      <c r="H10" s="2248"/>
      <c r="I10" s="2249" t="s">
        <v>2020</v>
      </c>
      <c r="J10" s="2125"/>
      <c r="K10" s="2126"/>
      <c r="L10" s="2128"/>
      <c r="M10" s="2126"/>
      <c r="N10" s="2128"/>
      <c r="O10" s="2129"/>
      <c r="Q10" s="2249" t="s">
        <v>2020</v>
      </c>
      <c r="R10" s="2253"/>
      <c r="S10" s="2253"/>
      <c r="T10" s="2253"/>
      <c r="U10" s="2253"/>
      <c r="V10" s="2253"/>
      <c r="W10" s="2253"/>
    </row>
    <row r="11" spans="1:30" ht="15.75" thickBot="1">
      <c r="A11" s="2096" t="s">
        <v>1974</v>
      </c>
      <c r="B11" s="2125">
        <f>Комплекты!B11*0.61</f>
        <v>22753</v>
      </c>
      <c r="C11" s="2126"/>
      <c r="D11" s="2125">
        <f>Комплекты!D11*0.61</f>
        <v>24834.625</v>
      </c>
      <c r="E11" s="2124">
        <f>Комплекты!E11*0.61</f>
        <v>26801.875</v>
      </c>
      <c r="F11" s="2125">
        <f>Комплекты!F11*0.61</f>
        <v>27884.625</v>
      </c>
      <c r="G11" s="2127">
        <f>Комплекты!G11*0.61</f>
        <v>29043.625</v>
      </c>
      <c r="H11" s="2248"/>
      <c r="I11" s="2249" t="s">
        <v>1974</v>
      </c>
      <c r="J11" s="2125">
        <v>21655</v>
      </c>
      <c r="K11" s="2126"/>
      <c r="L11" s="2125">
        <v>23690.875</v>
      </c>
      <c r="M11" s="2124">
        <v>25444.625</v>
      </c>
      <c r="N11" s="2125">
        <v>26649.375</v>
      </c>
      <c r="O11" s="2127">
        <v>27770.25</v>
      </c>
      <c r="Q11" s="2249" t="s">
        <v>1974</v>
      </c>
      <c r="R11" s="2253">
        <f>B11/J11-1</f>
        <v>5.0704225352112609E-2</v>
      </c>
      <c r="S11" s="2253"/>
      <c r="T11" s="2253">
        <f t="shared" ref="T11:W12" si="1">D11/L11-1</f>
        <v>4.8278081750884994E-2</v>
      </c>
      <c r="U11" s="2253">
        <f t="shared" si="1"/>
        <v>5.3341324543002777E-2</v>
      </c>
      <c r="V11" s="2253">
        <f t="shared" si="1"/>
        <v>4.6351931330472107E-2</v>
      </c>
      <c r="W11" s="2253">
        <f t="shared" si="1"/>
        <v>4.5853926414058277E-2</v>
      </c>
    </row>
    <row r="12" spans="1:30" ht="15.75" thickBot="1">
      <c r="A12" s="2096" t="s">
        <v>2021</v>
      </c>
      <c r="B12" s="2125">
        <f>Комплекты!B12*0.61</f>
        <v>33902.275000000001</v>
      </c>
      <c r="C12" s="2126"/>
      <c r="D12" s="2125">
        <f>Комплекты!D12*0.61</f>
        <v>34533.625</v>
      </c>
      <c r="E12" s="2124">
        <f>Комплекты!E12*0.61</f>
        <v>36500.875</v>
      </c>
      <c r="F12" s="2125">
        <f>Комплекты!F12*0.61</f>
        <v>37583.625</v>
      </c>
      <c r="G12" s="2127">
        <f>Комплекты!G12*0.61</f>
        <v>38742.625</v>
      </c>
      <c r="H12" s="2248"/>
      <c r="I12" s="2249" t="s">
        <v>2021</v>
      </c>
      <c r="J12" s="2125">
        <v>32480.974999999999</v>
      </c>
      <c r="K12" s="2126"/>
      <c r="L12" s="2125">
        <v>33176.375</v>
      </c>
      <c r="M12" s="2124">
        <v>34930.125</v>
      </c>
      <c r="N12" s="2125">
        <v>36134.875</v>
      </c>
      <c r="O12" s="2127">
        <v>37255.75</v>
      </c>
      <c r="Q12" s="2249" t="s">
        <v>2021</v>
      </c>
      <c r="R12" s="2253">
        <f>B12/J12-1</f>
        <v>4.3757922907178726E-2</v>
      </c>
      <c r="S12" s="2253"/>
      <c r="T12" s="2253">
        <f t="shared" si="1"/>
        <v>4.091013560101131E-2</v>
      </c>
      <c r="U12" s="2253">
        <f t="shared" si="1"/>
        <v>4.4968347522374996E-2</v>
      </c>
      <c r="V12" s="2253">
        <f t="shared" si="1"/>
        <v>4.0092846592107989E-2</v>
      </c>
      <c r="W12" s="2253">
        <f t="shared" si="1"/>
        <v>3.9909946786737649E-2</v>
      </c>
    </row>
    <row r="13" spans="1:30" ht="15.75" thickBot="1">
      <c r="A13" s="2097" t="s">
        <v>2022</v>
      </c>
      <c r="B13" s="2131"/>
      <c r="C13" s="2132"/>
      <c r="D13" s="2133"/>
      <c r="E13" s="2132"/>
      <c r="F13" s="2133"/>
      <c r="G13" s="2134"/>
      <c r="H13" s="2248"/>
      <c r="I13" s="2097" t="s">
        <v>2022</v>
      </c>
      <c r="J13" s="2131"/>
      <c r="K13" s="2132"/>
      <c r="L13" s="2133"/>
      <c r="M13" s="2132"/>
      <c r="N13" s="2133"/>
      <c r="O13" s="2134"/>
      <c r="Q13" s="2097" t="s">
        <v>2022</v>
      </c>
      <c r="R13" s="2253"/>
      <c r="S13" s="2253"/>
      <c r="T13" s="2253"/>
      <c r="U13" s="2253"/>
      <c r="V13" s="2253"/>
      <c r="W13" s="2253"/>
    </row>
    <row r="14" spans="1:30" ht="15.75" thickBot="1">
      <c r="A14" s="2095" t="s">
        <v>1975</v>
      </c>
      <c r="B14" s="2121">
        <f>Комплекты!B14*0.61</f>
        <v>20557</v>
      </c>
      <c r="C14" s="2122" t="s">
        <v>3</v>
      </c>
      <c r="D14" s="2121">
        <f>Комплекты!D14*0.61</f>
        <v>22322.95</v>
      </c>
      <c r="E14" s="2120">
        <f>Комплекты!E14*0.61</f>
        <v>24049.25</v>
      </c>
      <c r="F14" s="2121">
        <f>Комплекты!F14*0.61</f>
        <v>24976.45</v>
      </c>
      <c r="G14" s="2123">
        <f>Комплекты!G14*0.61</f>
        <v>25979.899999999998</v>
      </c>
      <c r="H14" s="2248"/>
      <c r="I14" s="2095" t="s">
        <v>1975</v>
      </c>
      <c r="J14" s="2121">
        <v>19541.349999999999</v>
      </c>
      <c r="K14" s="2122" t="s">
        <v>3</v>
      </c>
      <c r="L14" s="2121">
        <v>21270.7</v>
      </c>
      <c r="M14" s="2120">
        <v>22795.7</v>
      </c>
      <c r="N14" s="2121">
        <v>23851</v>
      </c>
      <c r="O14" s="2123">
        <v>24823.95</v>
      </c>
      <c r="Q14" s="2095" t="s">
        <v>1975</v>
      </c>
      <c r="R14" s="2253">
        <f t="shared" ref="R14:R27" si="2">B14/J14-1</f>
        <v>5.1974402996722402E-2</v>
      </c>
      <c r="S14" s="2253"/>
      <c r="T14" s="2253">
        <f t="shared" ref="T14:T23" si="3">D14/L14-1</f>
        <v>4.9469457986808241E-2</v>
      </c>
      <c r="U14" s="2253">
        <f t="shared" ref="U14:U23" si="4">E14/M14-1</f>
        <v>5.4990634198554877E-2</v>
      </c>
      <c r="V14" s="2253">
        <f t="shared" ref="V14:V23" si="5">F14/N14-1</f>
        <v>4.7186700767263501E-2</v>
      </c>
      <c r="W14" s="2253">
        <f t="shared" ref="W14:W23" si="6">G14/O14-1</f>
        <v>4.6565917188843731E-2</v>
      </c>
    </row>
    <row r="15" spans="1:30" ht="15.75" thickBot="1">
      <c r="A15" s="2096" t="s">
        <v>2024</v>
      </c>
      <c r="B15" s="2125">
        <f>Комплекты!B15*0.61</f>
        <v>23424</v>
      </c>
      <c r="C15" s="2126" t="s">
        <v>3</v>
      </c>
      <c r="D15" s="2125">
        <f>Комплекты!D15*0.61</f>
        <v>25189.95</v>
      </c>
      <c r="E15" s="2124">
        <f>Комплекты!E15*0.61</f>
        <v>26916.25</v>
      </c>
      <c r="F15" s="2125">
        <f>Комплекты!F15*0.61</f>
        <v>27843.45</v>
      </c>
      <c r="G15" s="2127">
        <f>Комплекты!G15*0.61</f>
        <v>28846.899999999998</v>
      </c>
      <c r="H15" s="2248"/>
      <c r="I15" s="2249" t="s">
        <v>2024</v>
      </c>
      <c r="J15" s="2125">
        <v>22268.05</v>
      </c>
      <c r="K15" s="2126" t="s">
        <v>3</v>
      </c>
      <c r="L15" s="2125">
        <v>23997.399999999998</v>
      </c>
      <c r="M15" s="2124">
        <v>25522.399999999998</v>
      </c>
      <c r="N15" s="2125">
        <v>26577.7</v>
      </c>
      <c r="O15" s="2127">
        <v>27550.649999999998</v>
      </c>
      <c r="Q15" s="2249" t="s">
        <v>2024</v>
      </c>
      <c r="R15" s="2253">
        <f t="shared" si="2"/>
        <v>5.1910697164772035E-2</v>
      </c>
      <c r="S15" s="2253"/>
      <c r="T15" s="2253">
        <f t="shared" si="3"/>
        <v>4.9694966954753506E-2</v>
      </c>
      <c r="U15" s="2253">
        <f t="shared" si="4"/>
        <v>5.4612810707457049E-2</v>
      </c>
      <c r="V15" s="2253">
        <f t="shared" si="5"/>
        <v>4.7624512279091036E-2</v>
      </c>
      <c r="W15" s="2253">
        <f t="shared" si="6"/>
        <v>4.7049706631240973E-2</v>
      </c>
    </row>
    <row r="16" spans="1:30" ht="15.75" thickBot="1">
      <c r="A16" s="2096" t="s">
        <v>1493</v>
      </c>
      <c r="B16" s="2125">
        <f>Комплекты!B16*0.61</f>
        <v>21746.5</v>
      </c>
      <c r="C16" s="2126" t="s">
        <v>3</v>
      </c>
      <c r="D16" s="2125">
        <f>Комплекты!D16*0.61</f>
        <v>23512.45</v>
      </c>
      <c r="E16" s="2124">
        <f>Комплекты!E16*0.61</f>
        <v>25238.75</v>
      </c>
      <c r="F16" s="2125">
        <f>Комплекты!F16*0.61</f>
        <v>26165.95</v>
      </c>
      <c r="G16" s="2127">
        <f>Комплекты!G16*0.61</f>
        <v>27169.399999999998</v>
      </c>
      <c r="H16" s="2248"/>
      <c r="I16" s="2249" t="s">
        <v>1493</v>
      </c>
      <c r="J16" s="2125">
        <v>20682.05</v>
      </c>
      <c r="K16" s="2126" t="s">
        <v>3</v>
      </c>
      <c r="L16" s="2125">
        <v>22411.399999999998</v>
      </c>
      <c r="M16" s="2124">
        <v>23936.399999999998</v>
      </c>
      <c r="N16" s="2125">
        <v>24991.7</v>
      </c>
      <c r="O16" s="2127">
        <v>25964.649999999998</v>
      </c>
      <c r="Q16" s="2249" t="s">
        <v>1493</v>
      </c>
      <c r="R16" s="2253">
        <f t="shared" si="2"/>
        <v>5.1467335201297759E-2</v>
      </c>
      <c r="S16" s="2253"/>
      <c r="T16" s="2253">
        <f t="shared" si="3"/>
        <v>4.9129014697877116E-2</v>
      </c>
      <c r="U16" s="2253">
        <f t="shared" si="4"/>
        <v>5.4408766564729927E-2</v>
      </c>
      <c r="V16" s="2253">
        <f t="shared" si="5"/>
        <v>4.6985599218940743E-2</v>
      </c>
      <c r="W16" s="2253">
        <f t="shared" si="6"/>
        <v>4.6399624104310977E-2</v>
      </c>
    </row>
    <row r="17" spans="1:23" ht="15.75" thickBot="1">
      <c r="A17" s="2097" t="s">
        <v>2025</v>
      </c>
      <c r="B17" s="2131">
        <f>Комплекты!B17*0.61</f>
        <v>24430.5</v>
      </c>
      <c r="C17" s="2132" t="s">
        <v>3</v>
      </c>
      <c r="D17" s="2131">
        <f>Комплекты!D17*0.61</f>
        <v>26196.45</v>
      </c>
      <c r="E17" s="2130">
        <f>Комплекты!E17*0.61</f>
        <v>27922.75</v>
      </c>
      <c r="F17" s="2131">
        <f>Комплекты!F17*0.61</f>
        <v>28849.95</v>
      </c>
      <c r="G17" s="2135">
        <f>Комплекты!G17*0.61</f>
        <v>29853.399999999998</v>
      </c>
      <c r="H17" s="2248"/>
      <c r="I17" s="2097" t="s">
        <v>2025</v>
      </c>
      <c r="J17" s="2131">
        <v>23219.649999999998</v>
      </c>
      <c r="K17" s="2132" t="s">
        <v>3</v>
      </c>
      <c r="L17" s="2131">
        <v>24949</v>
      </c>
      <c r="M17" s="2130">
        <v>26474</v>
      </c>
      <c r="N17" s="2131">
        <v>27529.3</v>
      </c>
      <c r="O17" s="2135">
        <v>28502.25</v>
      </c>
      <c r="Q17" s="2097" t="s">
        <v>2025</v>
      </c>
      <c r="R17" s="2253">
        <f t="shared" si="2"/>
        <v>5.2147642190989218E-2</v>
      </c>
      <c r="S17" s="2253"/>
      <c r="T17" s="2253">
        <f t="shared" si="3"/>
        <v>5.0000000000000044E-2</v>
      </c>
      <c r="U17" s="2253">
        <f t="shared" si="4"/>
        <v>5.4723502304147464E-2</v>
      </c>
      <c r="V17" s="2253">
        <f t="shared" si="5"/>
        <v>4.7972523820075441E-2</v>
      </c>
      <c r="W17" s="2253">
        <f t="shared" si="6"/>
        <v>4.7405029427501244E-2</v>
      </c>
    </row>
    <row r="18" spans="1:23" ht="15.75" thickBot="1">
      <c r="A18" s="2098" t="s">
        <v>1979</v>
      </c>
      <c r="B18" s="2121">
        <f>Комплекты!B18*0.61</f>
        <v>23088.5</v>
      </c>
      <c r="C18" s="2122" t="s">
        <v>3</v>
      </c>
      <c r="D18" s="2121">
        <f>Комплекты!D18*0.61</f>
        <v>24994.75</v>
      </c>
      <c r="E18" s="2120">
        <f>Комплекты!E18*0.61</f>
        <v>26977.25</v>
      </c>
      <c r="F18" s="2121">
        <f>Комплекты!F18*0.61</f>
        <v>28069.149999999998</v>
      </c>
      <c r="G18" s="2123">
        <f>Комплекты!G18*0.61</f>
        <v>29237.3</v>
      </c>
      <c r="H18" s="2248"/>
      <c r="I18" s="2098" t="s">
        <v>1979</v>
      </c>
      <c r="J18" s="2121">
        <v>21975.25</v>
      </c>
      <c r="K18" s="2122" t="s">
        <v>3</v>
      </c>
      <c r="L18" s="2121">
        <v>23832.7</v>
      </c>
      <c r="M18" s="2120">
        <v>25601.7</v>
      </c>
      <c r="N18" s="2121">
        <v>26809.5</v>
      </c>
      <c r="O18" s="2123">
        <v>27934.95</v>
      </c>
      <c r="Q18" s="2098" t="s">
        <v>1979</v>
      </c>
      <c r="R18" s="2253">
        <f t="shared" si="2"/>
        <v>5.0659264399722348E-2</v>
      </c>
      <c r="S18" s="2253"/>
      <c r="T18" s="2253">
        <f t="shared" si="3"/>
        <v>4.8758638341438454E-2</v>
      </c>
      <c r="U18" s="2253">
        <f t="shared" si="4"/>
        <v>5.3728853943292743E-2</v>
      </c>
      <c r="V18" s="2253">
        <f t="shared" si="5"/>
        <v>4.6985210466438998E-2</v>
      </c>
      <c r="W18" s="2253">
        <f t="shared" si="6"/>
        <v>4.6620810132110391E-2</v>
      </c>
    </row>
    <row r="19" spans="1:23" ht="15.75" thickBot="1">
      <c r="A19" s="2099" t="s">
        <v>1980</v>
      </c>
      <c r="B19" s="2125">
        <f>Комплекты!B19*0.61</f>
        <v>23088.5</v>
      </c>
      <c r="C19" s="2126" t="s">
        <v>3</v>
      </c>
      <c r="D19" s="2125">
        <f>Комплекты!D19*0.61</f>
        <v>24994.75</v>
      </c>
      <c r="E19" s="2124">
        <f>Комплекты!E19*0.61</f>
        <v>26977.25</v>
      </c>
      <c r="F19" s="2125">
        <f>Комплекты!F19*0.61</f>
        <v>28069.149999999998</v>
      </c>
      <c r="G19" s="2127">
        <f>Комплекты!G19*0.61</f>
        <v>29237.3</v>
      </c>
      <c r="H19" s="2248"/>
      <c r="I19" s="2250" t="s">
        <v>1980</v>
      </c>
      <c r="J19" s="2125">
        <v>21975.25</v>
      </c>
      <c r="K19" s="2126" t="s">
        <v>3</v>
      </c>
      <c r="L19" s="2125">
        <v>23832.7</v>
      </c>
      <c r="M19" s="2124">
        <v>25601.7</v>
      </c>
      <c r="N19" s="2125">
        <v>26809.5</v>
      </c>
      <c r="O19" s="2127">
        <v>27934.95</v>
      </c>
      <c r="Q19" s="2250" t="s">
        <v>1980</v>
      </c>
      <c r="R19" s="2253">
        <f t="shared" si="2"/>
        <v>5.0659264399722348E-2</v>
      </c>
      <c r="S19" s="2253"/>
      <c r="T19" s="2253">
        <f t="shared" si="3"/>
        <v>4.8758638341438454E-2</v>
      </c>
      <c r="U19" s="2253">
        <f t="shared" si="4"/>
        <v>5.3728853943292743E-2</v>
      </c>
      <c r="V19" s="2253">
        <f t="shared" si="5"/>
        <v>4.6985210466438998E-2</v>
      </c>
      <c r="W19" s="2253">
        <f t="shared" si="6"/>
        <v>4.6620810132110391E-2</v>
      </c>
    </row>
    <row r="20" spans="1:23" ht="15.75" thickBot="1">
      <c r="A20" s="2099" t="s">
        <v>1981</v>
      </c>
      <c r="B20" s="2125">
        <f>Комплекты!B20*0.61</f>
        <v>23088.5</v>
      </c>
      <c r="C20" s="2126" t="s">
        <v>3</v>
      </c>
      <c r="D20" s="2125">
        <f>Комплекты!D20*0.61</f>
        <v>24994.75</v>
      </c>
      <c r="E20" s="2124">
        <f>Комплекты!E20*0.61</f>
        <v>26977.25</v>
      </c>
      <c r="F20" s="2125">
        <f>Комплекты!F20*0.61</f>
        <v>28069.149999999998</v>
      </c>
      <c r="G20" s="2127">
        <f>Комплекты!G20*0.61</f>
        <v>29237.3</v>
      </c>
      <c r="H20" s="2248"/>
      <c r="I20" s="2250" t="s">
        <v>1981</v>
      </c>
      <c r="J20" s="2125">
        <v>21975.25</v>
      </c>
      <c r="K20" s="2126" t="s">
        <v>3</v>
      </c>
      <c r="L20" s="2125">
        <v>23832.7</v>
      </c>
      <c r="M20" s="2124">
        <v>25601.7</v>
      </c>
      <c r="N20" s="2125">
        <v>26809.5</v>
      </c>
      <c r="O20" s="2127">
        <v>27934.95</v>
      </c>
      <c r="Q20" s="2250" t="s">
        <v>1981</v>
      </c>
      <c r="R20" s="2253">
        <f t="shared" si="2"/>
        <v>5.0659264399722348E-2</v>
      </c>
      <c r="S20" s="2253"/>
      <c r="T20" s="2253">
        <f t="shared" si="3"/>
        <v>4.8758638341438454E-2</v>
      </c>
      <c r="U20" s="2253">
        <f t="shared" si="4"/>
        <v>5.3728853943292743E-2</v>
      </c>
      <c r="V20" s="2253">
        <f t="shared" si="5"/>
        <v>4.6985210466438998E-2</v>
      </c>
      <c r="W20" s="2253">
        <f t="shared" si="6"/>
        <v>4.6620810132110391E-2</v>
      </c>
    </row>
    <row r="21" spans="1:23" ht="15.75" thickBot="1">
      <c r="A21" s="2099" t="s">
        <v>1982</v>
      </c>
      <c r="B21" s="2125">
        <f>Комплекты!B21*0.61</f>
        <v>23088.5</v>
      </c>
      <c r="C21" s="2126" t="s">
        <v>3</v>
      </c>
      <c r="D21" s="2125">
        <f>Комплекты!D21*0.61</f>
        <v>24994.75</v>
      </c>
      <c r="E21" s="2124">
        <f>Комплекты!E21*0.61</f>
        <v>26977.25</v>
      </c>
      <c r="F21" s="2125">
        <f>Комплекты!F21*0.61</f>
        <v>28069.149999999998</v>
      </c>
      <c r="G21" s="2127">
        <f>Комплекты!G21*0.61</f>
        <v>29237.3</v>
      </c>
      <c r="H21" s="2248"/>
      <c r="I21" s="2250" t="s">
        <v>1982</v>
      </c>
      <c r="J21" s="2125">
        <v>21975.25</v>
      </c>
      <c r="K21" s="2126" t="s">
        <v>3</v>
      </c>
      <c r="L21" s="2125">
        <v>23832.7</v>
      </c>
      <c r="M21" s="2124">
        <v>25601.7</v>
      </c>
      <c r="N21" s="2125">
        <v>26809.5</v>
      </c>
      <c r="O21" s="2127">
        <v>27934.95</v>
      </c>
      <c r="Q21" s="2250" t="s">
        <v>1982</v>
      </c>
      <c r="R21" s="2253">
        <f t="shared" si="2"/>
        <v>5.0659264399722348E-2</v>
      </c>
      <c r="S21" s="2253"/>
      <c r="T21" s="2253">
        <f t="shared" si="3"/>
        <v>4.8758638341438454E-2</v>
      </c>
      <c r="U21" s="2253">
        <f t="shared" si="4"/>
        <v>5.3728853943292743E-2</v>
      </c>
      <c r="V21" s="2253">
        <f t="shared" si="5"/>
        <v>4.6985210466438998E-2</v>
      </c>
      <c r="W21" s="2253">
        <f t="shared" si="6"/>
        <v>4.6620810132110391E-2</v>
      </c>
    </row>
    <row r="22" spans="1:23" ht="15.75" thickBot="1">
      <c r="A22" s="2099" t="s">
        <v>229</v>
      </c>
      <c r="B22" s="2125">
        <f>Комплекты!B22*0.61</f>
        <v>23088.5</v>
      </c>
      <c r="C22" s="2126" t="s">
        <v>3</v>
      </c>
      <c r="D22" s="2125">
        <f>Комплекты!D22*0.61</f>
        <v>24994.75</v>
      </c>
      <c r="E22" s="2124">
        <f>Комплекты!E22*0.61</f>
        <v>26977.25</v>
      </c>
      <c r="F22" s="2125">
        <f>Комплекты!F22*0.61</f>
        <v>28069.149999999998</v>
      </c>
      <c r="G22" s="2127">
        <f>Комплекты!G22*0.61</f>
        <v>29237.3</v>
      </c>
      <c r="H22" s="2248"/>
      <c r="I22" s="2250" t="s">
        <v>229</v>
      </c>
      <c r="J22" s="2125">
        <v>21975.25</v>
      </c>
      <c r="K22" s="2126" t="s">
        <v>3</v>
      </c>
      <c r="L22" s="2125">
        <v>23832.7</v>
      </c>
      <c r="M22" s="2124">
        <v>25601.7</v>
      </c>
      <c r="N22" s="2125">
        <v>26809.5</v>
      </c>
      <c r="O22" s="2127">
        <v>27934.95</v>
      </c>
      <c r="Q22" s="2250" t="s">
        <v>229</v>
      </c>
      <c r="R22" s="2253">
        <f t="shared" si="2"/>
        <v>5.0659264399722348E-2</v>
      </c>
      <c r="S22" s="2253"/>
      <c r="T22" s="2253">
        <f t="shared" si="3"/>
        <v>4.8758638341438454E-2</v>
      </c>
      <c r="U22" s="2253">
        <f t="shared" si="4"/>
        <v>5.3728853943292743E-2</v>
      </c>
      <c r="V22" s="2253">
        <f t="shared" si="5"/>
        <v>4.6985210466438998E-2</v>
      </c>
      <c r="W22" s="2253">
        <f t="shared" si="6"/>
        <v>4.6620810132110391E-2</v>
      </c>
    </row>
    <row r="23" spans="1:23" ht="15.75" thickBot="1">
      <c r="A23" s="2100" t="s">
        <v>2023</v>
      </c>
      <c r="B23" s="2137">
        <f>Комплекты!B23*0.61</f>
        <v>35441</v>
      </c>
      <c r="C23" s="2136" t="s">
        <v>3</v>
      </c>
      <c r="D23" s="2137">
        <f>Комплекты!D23*0.61</f>
        <v>35944.25</v>
      </c>
      <c r="E23" s="2138">
        <f>Комплекты!E23*0.61</f>
        <v>36706.75</v>
      </c>
      <c r="F23" s="2137">
        <f>Комплекты!F23*0.61</f>
        <v>37011.75</v>
      </c>
      <c r="G23" s="2139">
        <f>Комплекты!G23*0.61</f>
        <v>37393</v>
      </c>
      <c r="H23" s="2248"/>
      <c r="I23" s="2100" t="s">
        <v>2023</v>
      </c>
      <c r="J23" s="2137">
        <v>33662.85</v>
      </c>
      <c r="K23" s="2136" t="s">
        <v>3</v>
      </c>
      <c r="L23" s="2137">
        <v>34166.1</v>
      </c>
      <c r="M23" s="2138">
        <v>34776.1</v>
      </c>
      <c r="N23" s="2137">
        <v>35233.599999999999</v>
      </c>
      <c r="O23" s="2139">
        <v>35614.85</v>
      </c>
      <c r="Q23" s="2100" t="s">
        <v>2023</v>
      </c>
      <c r="R23" s="2253">
        <f t="shared" si="2"/>
        <v>5.282232490713068E-2</v>
      </c>
      <c r="S23" s="2253"/>
      <c r="T23" s="2253">
        <f t="shared" si="3"/>
        <v>5.2044277807534511E-2</v>
      </c>
      <c r="U23" s="2253">
        <f t="shared" si="4"/>
        <v>5.5516576039291499E-2</v>
      </c>
      <c r="V23" s="2253">
        <f t="shared" si="5"/>
        <v>5.0467451523545703E-2</v>
      </c>
      <c r="W23" s="2253">
        <f t="shared" si="6"/>
        <v>4.9927207330650036E-2</v>
      </c>
    </row>
    <row r="24" spans="1:23" ht="15.75" thickBot="1">
      <c r="A24" s="2098" t="s">
        <v>903</v>
      </c>
      <c r="B24" s="2121">
        <f>Комплекты!B24*0.61</f>
        <v>20618</v>
      </c>
      <c r="C24" s="2120">
        <f>Комплекты!C24*0.61</f>
        <v>24918.5</v>
      </c>
      <c r="D24" s="2121" t="s">
        <v>3</v>
      </c>
      <c r="E24" s="2120" t="s">
        <v>3</v>
      </c>
      <c r="F24" s="2121" t="s">
        <v>3</v>
      </c>
      <c r="G24" s="2123" t="s">
        <v>3</v>
      </c>
      <c r="I24" s="2098" t="s">
        <v>903</v>
      </c>
      <c r="J24" s="2121">
        <v>19626.75</v>
      </c>
      <c r="K24" s="2120">
        <v>23744.25</v>
      </c>
      <c r="L24" s="2121" t="s">
        <v>3</v>
      </c>
      <c r="M24" s="2120" t="s">
        <v>3</v>
      </c>
      <c r="N24" s="2121" t="s">
        <v>3</v>
      </c>
      <c r="O24" s="2123" t="s">
        <v>3</v>
      </c>
      <c r="Q24" s="2098" t="s">
        <v>903</v>
      </c>
      <c r="R24" s="2253">
        <f t="shared" si="2"/>
        <v>5.0505050505050608E-2</v>
      </c>
      <c r="S24" s="2253">
        <f>C24/K24-1</f>
        <v>4.9454078355812392E-2</v>
      </c>
      <c r="T24" s="2253"/>
      <c r="U24" s="2253"/>
      <c r="V24" s="2253"/>
      <c r="W24" s="2253"/>
    </row>
    <row r="25" spans="1:23" ht="15.75" thickBot="1">
      <c r="A25" s="2099" t="s">
        <v>904</v>
      </c>
      <c r="B25" s="2125">
        <f>Комплекты!B25*0.61</f>
        <v>20618</v>
      </c>
      <c r="C25" s="2124">
        <f>Комплекты!C25*0.61</f>
        <v>24918.5</v>
      </c>
      <c r="D25" s="2128" t="s">
        <v>3</v>
      </c>
      <c r="E25" s="2126" t="s">
        <v>3</v>
      </c>
      <c r="F25" s="2128" t="s">
        <v>3</v>
      </c>
      <c r="G25" s="2129" t="s">
        <v>3</v>
      </c>
      <c r="I25" s="2250" t="s">
        <v>904</v>
      </c>
      <c r="J25" s="2125">
        <v>19626.75</v>
      </c>
      <c r="K25" s="2124">
        <v>23744.25</v>
      </c>
      <c r="L25" s="2128" t="s">
        <v>3</v>
      </c>
      <c r="M25" s="2126" t="s">
        <v>3</v>
      </c>
      <c r="N25" s="2128" t="s">
        <v>3</v>
      </c>
      <c r="O25" s="2129" t="s">
        <v>3</v>
      </c>
      <c r="Q25" s="2250" t="s">
        <v>904</v>
      </c>
      <c r="R25" s="2253">
        <f t="shared" si="2"/>
        <v>5.0505050505050608E-2</v>
      </c>
      <c r="S25" s="2253">
        <f>C25/K25-1</f>
        <v>4.9454078355812392E-2</v>
      </c>
      <c r="T25" s="2253"/>
      <c r="U25" s="2253"/>
      <c r="V25" s="2253"/>
      <c r="W25" s="2253"/>
    </row>
    <row r="26" spans="1:23" ht="15.75" thickBot="1">
      <c r="A26" s="2099" t="s">
        <v>1983</v>
      </c>
      <c r="B26" s="2125">
        <f>Комплекты!B26*0.61</f>
        <v>20618</v>
      </c>
      <c r="C26" s="2124">
        <f>Комплекты!C26*0.61</f>
        <v>24918.5</v>
      </c>
      <c r="D26" s="2128" t="s">
        <v>3</v>
      </c>
      <c r="E26" s="2126" t="s">
        <v>3</v>
      </c>
      <c r="F26" s="2128" t="s">
        <v>3</v>
      </c>
      <c r="G26" s="2129" t="s">
        <v>3</v>
      </c>
      <c r="I26" s="2250" t="s">
        <v>1983</v>
      </c>
      <c r="J26" s="2125">
        <v>19626.75</v>
      </c>
      <c r="K26" s="2124">
        <v>23744.25</v>
      </c>
      <c r="L26" s="2128" t="s">
        <v>3</v>
      </c>
      <c r="M26" s="2126" t="s">
        <v>3</v>
      </c>
      <c r="N26" s="2128" t="s">
        <v>3</v>
      </c>
      <c r="O26" s="2129" t="s">
        <v>3</v>
      </c>
      <c r="Q26" s="2250" t="s">
        <v>1983</v>
      </c>
      <c r="R26" s="2253">
        <f t="shared" si="2"/>
        <v>5.0505050505050608E-2</v>
      </c>
      <c r="S26" s="2253">
        <f>C26/K26-1</f>
        <v>4.9454078355812392E-2</v>
      </c>
      <c r="T26" s="2253"/>
      <c r="U26" s="2253"/>
      <c r="V26" s="2253"/>
      <c r="W26" s="2253"/>
    </row>
    <row r="27" spans="1:23" ht="15.75" thickBot="1">
      <c r="A27" s="2100" t="s">
        <v>1558</v>
      </c>
      <c r="B27" s="2137">
        <f>Комплекты!B27*0.61</f>
        <v>22417.5</v>
      </c>
      <c r="C27" s="2140" t="s">
        <v>3</v>
      </c>
      <c r="D27" s="2141" t="s">
        <v>3</v>
      </c>
      <c r="E27" s="2136" t="s">
        <v>3</v>
      </c>
      <c r="F27" s="2141" t="s">
        <v>3</v>
      </c>
      <c r="G27" s="2142" t="s">
        <v>3</v>
      </c>
      <c r="I27" s="2100" t="s">
        <v>1558</v>
      </c>
      <c r="J27" s="2137">
        <v>21334.75</v>
      </c>
      <c r="K27" s="2140" t="s">
        <v>3</v>
      </c>
      <c r="L27" s="2141" t="s">
        <v>3</v>
      </c>
      <c r="M27" s="2136" t="s">
        <v>3</v>
      </c>
      <c r="N27" s="2141" t="s">
        <v>3</v>
      </c>
      <c r="O27" s="2142" t="s">
        <v>3</v>
      </c>
      <c r="Q27" s="2100" t="s">
        <v>1558</v>
      </c>
      <c r="R27" s="2253">
        <f t="shared" si="2"/>
        <v>5.0750536097212251E-2</v>
      </c>
      <c r="S27" s="2253"/>
      <c r="T27" s="2253"/>
      <c r="U27" s="2253"/>
      <c r="V27" s="2253"/>
      <c r="W27" s="2253"/>
    </row>
    <row r="28" spans="1:23" ht="15.75" thickBot="1">
      <c r="A28" s="2095" t="s">
        <v>896</v>
      </c>
      <c r="B28" s="2121"/>
      <c r="C28" s="2143" t="s">
        <v>3</v>
      </c>
      <c r="D28" s="2121">
        <f>Комплекты!D28*0.61</f>
        <v>22304.649999999998</v>
      </c>
      <c r="E28" s="2120">
        <f>Комплекты!E28*0.61</f>
        <v>24079.75</v>
      </c>
      <c r="F28" s="2144" t="s">
        <v>3</v>
      </c>
      <c r="G28" s="2123">
        <f>Комплекты!G28*0.61</f>
        <v>26077.5</v>
      </c>
      <c r="I28" s="2095" t="s">
        <v>896</v>
      </c>
      <c r="J28" s="2121"/>
      <c r="K28" s="2143" t="s">
        <v>3</v>
      </c>
      <c r="L28" s="2121">
        <v>21270.7</v>
      </c>
      <c r="M28" s="2120">
        <v>22844.5</v>
      </c>
      <c r="N28" s="2144" t="s">
        <v>3</v>
      </c>
      <c r="O28" s="2123">
        <v>24933.75</v>
      </c>
      <c r="Q28" s="2095" t="s">
        <v>896</v>
      </c>
      <c r="R28" s="2253"/>
      <c r="S28" s="2253"/>
      <c r="T28" s="2253">
        <f t="shared" ref="T28:U32" si="7">D28/L28-1</f>
        <v>4.8609119587037508E-2</v>
      </c>
      <c r="U28" s="2253">
        <f t="shared" si="7"/>
        <v>5.4072096128170877E-2</v>
      </c>
      <c r="V28" s="2253"/>
      <c r="W28" s="2253">
        <f>G28/O28-1</f>
        <v>4.587155963302747E-2</v>
      </c>
    </row>
    <row r="29" spans="1:23" ht="15.75" thickBot="1">
      <c r="A29" s="2099" t="s">
        <v>893</v>
      </c>
      <c r="B29" s="2125">
        <f>Комплекты!B29*0.61</f>
        <v>23973</v>
      </c>
      <c r="C29" s="2145" t="s">
        <v>3</v>
      </c>
      <c r="D29" s="2125">
        <f>Комплекты!D29*0.61</f>
        <v>25995.149999999998</v>
      </c>
      <c r="E29" s="2124">
        <f>Комплекты!E29*0.61</f>
        <v>27770.25</v>
      </c>
      <c r="F29" s="2128" t="s">
        <v>3</v>
      </c>
      <c r="G29" s="2127">
        <f>Комплекты!G29*0.61</f>
        <v>29768</v>
      </c>
      <c r="I29" s="2250" t="s">
        <v>893</v>
      </c>
      <c r="J29" s="2125">
        <v>22829.25</v>
      </c>
      <c r="K29" s="2145" t="s">
        <v>3</v>
      </c>
      <c r="L29" s="2125">
        <v>24759.899999999998</v>
      </c>
      <c r="M29" s="2124">
        <v>26333.7</v>
      </c>
      <c r="N29" s="2128" t="s">
        <v>3</v>
      </c>
      <c r="O29" s="2127">
        <v>28422.95</v>
      </c>
      <c r="Q29" s="2250" t="s">
        <v>893</v>
      </c>
      <c r="R29" s="2253">
        <f>B29/J29-1</f>
        <v>5.0100200400801542E-2</v>
      </c>
      <c r="S29" s="2253"/>
      <c r="T29" s="2253">
        <f t="shared" si="7"/>
        <v>4.9889135254988837E-2</v>
      </c>
      <c r="U29" s="2253">
        <f t="shared" si="7"/>
        <v>5.4551772063933246E-2</v>
      </c>
      <c r="V29" s="2253"/>
      <c r="W29" s="2253">
        <f>G29/O29-1</f>
        <v>4.7322674106663687E-2</v>
      </c>
    </row>
    <row r="30" spans="1:23" ht="15.75" thickBot="1">
      <c r="A30" s="2099" t="s">
        <v>894</v>
      </c>
      <c r="B30" s="2128"/>
      <c r="C30" s="2145" t="s">
        <v>3</v>
      </c>
      <c r="D30" s="2125">
        <f>Комплекты!D30*0.61</f>
        <v>24476.25</v>
      </c>
      <c r="E30" s="2124">
        <f>Комплекты!E30*0.61</f>
        <v>24079.75</v>
      </c>
      <c r="F30" s="2128" t="s">
        <v>3</v>
      </c>
      <c r="G30" s="2127">
        <f>Комплекты!G30*0.61</f>
        <v>28511.399999999998</v>
      </c>
      <c r="I30" s="2250" t="s">
        <v>894</v>
      </c>
      <c r="J30" s="2128"/>
      <c r="K30" s="2145" t="s">
        <v>3</v>
      </c>
      <c r="L30" s="2125">
        <v>23320.3</v>
      </c>
      <c r="M30" s="2124">
        <v>22844.5</v>
      </c>
      <c r="N30" s="2128" t="s">
        <v>3</v>
      </c>
      <c r="O30" s="2127">
        <v>27227.35</v>
      </c>
      <c r="Q30" s="2250" t="s">
        <v>894</v>
      </c>
      <c r="R30" s="2253"/>
      <c r="S30" s="2253"/>
      <c r="T30" s="2253">
        <f t="shared" si="7"/>
        <v>4.9568401778707916E-2</v>
      </c>
      <c r="U30" s="2253">
        <f t="shared" si="7"/>
        <v>5.4072096128170877E-2</v>
      </c>
      <c r="V30" s="2253"/>
      <c r="W30" s="2253">
        <f>G30/O30-1</f>
        <v>4.7160300212837347E-2</v>
      </c>
    </row>
    <row r="31" spans="1:23" ht="15.75" thickBot="1">
      <c r="A31" s="2099" t="s">
        <v>895</v>
      </c>
      <c r="B31" s="2128"/>
      <c r="C31" s="2145" t="s">
        <v>3</v>
      </c>
      <c r="D31" s="2125">
        <f>Комплекты!D31*0.61</f>
        <v>24476.25</v>
      </c>
      <c r="E31" s="2124">
        <f>Комплекты!E31*0.61</f>
        <v>24079.75</v>
      </c>
      <c r="F31" s="2128" t="s">
        <v>3</v>
      </c>
      <c r="G31" s="2127">
        <f>Комплекты!G31*0.61</f>
        <v>28511.399999999998</v>
      </c>
      <c r="I31" s="2250" t="s">
        <v>895</v>
      </c>
      <c r="J31" s="2128"/>
      <c r="K31" s="2145" t="s">
        <v>3</v>
      </c>
      <c r="L31" s="2125">
        <v>23320.3</v>
      </c>
      <c r="M31" s="2124">
        <v>22844.5</v>
      </c>
      <c r="N31" s="2128" t="s">
        <v>3</v>
      </c>
      <c r="O31" s="2127">
        <v>27227.35</v>
      </c>
      <c r="Q31" s="2250" t="s">
        <v>895</v>
      </c>
      <c r="R31" s="2253"/>
      <c r="S31" s="2253"/>
      <c r="T31" s="2253">
        <f t="shared" si="7"/>
        <v>4.9568401778707916E-2</v>
      </c>
      <c r="U31" s="2253">
        <f t="shared" si="7"/>
        <v>5.4072096128170877E-2</v>
      </c>
      <c r="V31" s="2253"/>
      <c r="W31" s="2253">
        <f>G31/O31-1</f>
        <v>4.7160300212837347E-2</v>
      </c>
    </row>
    <row r="32" spans="1:23" ht="15.75" thickBot="1">
      <c r="A32" s="2101" t="s">
        <v>902</v>
      </c>
      <c r="B32" s="2137">
        <f>Комплекты!B32*0.61</f>
        <v>25650.5</v>
      </c>
      <c r="C32" s="2146" t="s">
        <v>3</v>
      </c>
      <c r="D32" s="2137">
        <f>Комплекты!D32*0.61</f>
        <v>26245.25</v>
      </c>
      <c r="E32" s="2138">
        <f>Комплекты!E32*0.61</f>
        <v>28319.25</v>
      </c>
      <c r="F32" s="2141" t="s">
        <v>3</v>
      </c>
      <c r="G32" s="2139">
        <f>Комплекты!G32*0.61</f>
        <v>30701.3</v>
      </c>
      <c r="I32" s="2101" t="s">
        <v>902</v>
      </c>
      <c r="J32" s="2137">
        <v>24415.25</v>
      </c>
      <c r="K32" s="2146" t="s">
        <v>3</v>
      </c>
      <c r="L32" s="2137">
        <v>25010</v>
      </c>
      <c r="M32" s="2138">
        <v>26870.5</v>
      </c>
      <c r="N32" s="2141" t="s">
        <v>3</v>
      </c>
      <c r="O32" s="2139">
        <v>29319.649999999998</v>
      </c>
      <c r="Q32" s="2101" t="s">
        <v>902</v>
      </c>
      <c r="R32" s="2253">
        <f t="shared" ref="R32:R47" si="8">B32/J32-1</f>
        <v>5.059337913803863E-2</v>
      </c>
      <c r="S32" s="2253"/>
      <c r="T32" s="2253">
        <f t="shared" si="7"/>
        <v>4.9390243902438957E-2</v>
      </c>
      <c r="U32" s="2253">
        <f t="shared" si="7"/>
        <v>5.3916004540295104E-2</v>
      </c>
      <c r="V32" s="2253"/>
      <c r="W32" s="2253">
        <f>G32/O32-1</f>
        <v>4.7123686674295229E-2</v>
      </c>
    </row>
    <row r="33" spans="1:23" ht="15.75" thickBot="1">
      <c r="A33" s="2102" t="s">
        <v>1984</v>
      </c>
      <c r="B33" s="2121">
        <f>Комплекты!B33*0.61</f>
        <v>20496</v>
      </c>
      <c r="C33" s="2083">
        <f>Комплекты!C33*0.61</f>
        <v>24918.5</v>
      </c>
      <c r="D33" s="2147" t="s">
        <v>3</v>
      </c>
      <c r="E33" s="2143" t="s">
        <v>3</v>
      </c>
      <c r="F33" s="2147" t="s">
        <v>3</v>
      </c>
      <c r="G33" s="2148" t="s">
        <v>3</v>
      </c>
      <c r="I33" s="2102" t="s">
        <v>1984</v>
      </c>
      <c r="J33" s="2121">
        <v>19504.75</v>
      </c>
      <c r="K33" s="2083">
        <v>23744.25</v>
      </c>
      <c r="L33" s="2147" t="s">
        <v>3</v>
      </c>
      <c r="M33" s="2143" t="s">
        <v>3</v>
      </c>
      <c r="N33" s="2147" t="s">
        <v>3</v>
      </c>
      <c r="O33" s="2148" t="s">
        <v>3</v>
      </c>
      <c r="Q33" s="2102" t="s">
        <v>1984</v>
      </c>
      <c r="R33" s="2253">
        <f t="shared" si="8"/>
        <v>5.0820953870211127E-2</v>
      </c>
      <c r="S33" s="2253">
        <f t="shared" ref="S33:S40" si="9">C33/K33-1</f>
        <v>4.9454078355812392E-2</v>
      </c>
      <c r="T33" s="2253"/>
      <c r="U33" s="2253"/>
      <c r="V33" s="2253"/>
      <c r="W33" s="2253"/>
    </row>
    <row r="34" spans="1:23" ht="15.75" thickBot="1">
      <c r="A34" s="2103" t="s">
        <v>1714</v>
      </c>
      <c r="B34" s="2125">
        <f>Комплекты!B34*0.61</f>
        <v>20496</v>
      </c>
      <c r="C34" s="2082">
        <f>Комплекты!C34*0.61</f>
        <v>24918.5</v>
      </c>
      <c r="D34" s="1155" t="s">
        <v>3</v>
      </c>
      <c r="E34" s="2145" t="s">
        <v>3</v>
      </c>
      <c r="F34" s="1155" t="s">
        <v>3</v>
      </c>
      <c r="G34" s="2149" t="s">
        <v>3</v>
      </c>
      <c r="I34" s="2251" t="s">
        <v>1714</v>
      </c>
      <c r="J34" s="2125">
        <v>19504.75</v>
      </c>
      <c r="K34" s="2082">
        <v>23744.25</v>
      </c>
      <c r="L34" s="1155" t="s">
        <v>3</v>
      </c>
      <c r="M34" s="2145" t="s">
        <v>3</v>
      </c>
      <c r="N34" s="1155" t="s">
        <v>3</v>
      </c>
      <c r="O34" s="2149" t="s">
        <v>3</v>
      </c>
      <c r="Q34" s="2251" t="s">
        <v>1714</v>
      </c>
      <c r="R34" s="2253">
        <f t="shared" si="8"/>
        <v>5.0820953870211127E-2</v>
      </c>
      <c r="S34" s="2253">
        <f t="shared" si="9"/>
        <v>4.9454078355812392E-2</v>
      </c>
      <c r="T34" s="2253"/>
      <c r="U34" s="2253"/>
      <c r="V34" s="2253"/>
      <c r="W34" s="2253"/>
    </row>
    <row r="35" spans="1:23" ht="15.75" thickBot="1">
      <c r="A35" s="2103" t="s">
        <v>2010</v>
      </c>
      <c r="B35" s="2125">
        <f>Комплекты!B35*0.61</f>
        <v>20496</v>
      </c>
      <c r="C35" s="2082">
        <f>Комплекты!C35*0.61</f>
        <v>24918.5</v>
      </c>
      <c r="D35" s="1155" t="s">
        <v>3</v>
      </c>
      <c r="E35" s="2145" t="s">
        <v>3</v>
      </c>
      <c r="F35" s="1155" t="s">
        <v>3</v>
      </c>
      <c r="G35" s="2149" t="s">
        <v>3</v>
      </c>
      <c r="I35" s="2251" t="s">
        <v>2010</v>
      </c>
      <c r="J35" s="2125">
        <v>19504.75</v>
      </c>
      <c r="K35" s="2082">
        <v>23744.25</v>
      </c>
      <c r="L35" s="1155" t="s">
        <v>3</v>
      </c>
      <c r="M35" s="2145" t="s">
        <v>3</v>
      </c>
      <c r="N35" s="1155" t="s">
        <v>3</v>
      </c>
      <c r="O35" s="2149" t="s">
        <v>3</v>
      </c>
      <c r="Q35" s="2251" t="s">
        <v>2010</v>
      </c>
      <c r="R35" s="2253">
        <f t="shared" si="8"/>
        <v>5.0820953870211127E-2</v>
      </c>
      <c r="S35" s="2253">
        <f t="shared" si="9"/>
        <v>4.9454078355812392E-2</v>
      </c>
      <c r="T35" s="2253"/>
      <c r="U35" s="2253"/>
      <c r="V35" s="2253"/>
      <c r="W35" s="2253"/>
    </row>
    <row r="36" spans="1:23" ht="15.75" thickBot="1">
      <c r="A36" s="2103" t="s">
        <v>2011</v>
      </c>
      <c r="B36" s="2137">
        <f>Комплекты!B36*0.61</f>
        <v>20496</v>
      </c>
      <c r="C36" s="2086">
        <f>Комплекты!C36*0.61</f>
        <v>24918.5</v>
      </c>
      <c r="D36" s="2150" t="s">
        <v>3</v>
      </c>
      <c r="E36" s="2146" t="s">
        <v>3</v>
      </c>
      <c r="F36" s="2150" t="s">
        <v>3</v>
      </c>
      <c r="G36" s="2151" t="s">
        <v>3</v>
      </c>
      <c r="I36" s="2251" t="s">
        <v>2011</v>
      </c>
      <c r="J36" s="2137">
        <v>19504.75</v>
      </c>
      <c r="K36" s="2086">
        <v>23744.25</v>
      </c>
      <c r="L36" s="2150" t="s">
        <v>3</v>
      </c>
      <c r="M36" s="2146" t="s">
        <v>3</v>
      </c>
      <c r="N36" s="2150" t="s">
        <v>3</v>
      </c>
      <c r="O36" s="2151" t="s">
        <v>3</v>
      </c>
      <c r="Q36" s="2251" t="s">
        <v>2011</v>
      </c>
      <c r="R36" s="2253">
        <f t="shared" si="8"/>
        <v>5.0820953870211127E-2</v>
      </c>
      <c r="S36" s="2253">
        <f t="shared" si="9"/>
        <v>4.9454078355812392E-2</v>
      </c>
      <c r="T36" s="2253"/>
      <c r="U36" s="2253"/>
      <c r="V36" s="2253"/>
      <c r="W36" s="2253"/>
    </row>
    <row r="37" spans="1:23" ht="15.75" thickBot="1">
      <c r="A37" s="2102" t="s">
        <v>1985</v>
      </c>
      <c r="B37" s="2121">
        <f>Комплекты!B37*0.61</f>
        <v>21197.5</v>
      </c>
      <c r="C37" s="2082">
        <f>Комплекты!C37*0.61</f>
        <v>25620</v>
      </c>
      <c r="D37" s="2147" t="s">
        <v>3</v>
      </c>
      <c r="E37" s="2143" t="s">
        <v>3</v>
      </c>
      <c r="F37" s="2147" t="s">
        <v>3</v>
      </c>
      <c r="G37" s="2148" t="s">
        <v>3</v>
      </c>
      <c r="I37" s="2102" t="s">
        <v>1985</v>
      </c>
      <c r="J37" s="2121">
        <v>20145.25</v>
      </c>
      <c r="K37" s="2083">
        <v>24384.75</v>
      </c>
      <c r="L37" s="2147" t="s">
        <v>3</v>
      </c>
      <c r="M37" s="2143" t="s">
        <v>3</v>
      </c>
      <c r="N37" s="2147" t="s">
        <v>3</v>
      </c>
      <c r="O37" s="2148" t="s">
        <v>3</v>
      </c>
      <c r="Q37" s="2102" t="s">
        <v>1985</v>
      </c>
      <c r="R37" s="2253">
        <f t="shared" si="8"/>
        <v>5.223315669947004E-2</v>
      </c>
      <c r="S37" s="2253">
        <f t="shared" si="9"/>
        <v>5.065666041275807E-2</v>
      </c>
      <c r="T37" s="2253"/>
      <c r="U37" s="2253"/>
      <c r="V37" s="2253"/>
      <c r="W37" s="2253"/>
    </row>
    <row r="38" spans="1:23" ht="15.75" thickBot="1">
      <c r="A38" s="2099" t="s">
        <v>1544</v>
      </c>
      <c r="B38" s="2125">
        <f>Комплекты!B38*0.61</f>
        <v>21197.5</v>
      </c>
      <c r="C38" s="2082">
        <f>Комплекты!C38*0.61</f>
        <v>25620</v>
      </c>
      <c r="D38" s="1155" t="s">
        <v>3</v>
      </c>
      <c r="E38" s="2145" t="s">
        <v>3</v>
      </c>
      <c r="F38" s="1155" t="s">
        <v>3</v>
      </c>
      <c r="G38" s="2149" t="s">
        <v>3</v>
      </c>
      <c r="I38" s="2250" t="s">
        <v>1544</v>
      </c>
      <c r="J38" s="2125">
        <v>20145.25</v>
      </c>
      <c r="K38" s="2124">
        <v>24384.75</v>
      </c>
      <c r="L38" s="1155" t="s">
        <v>3</v>
      </c>
      <c r="M38" s="2145" t="s">
        <v>3</v>
      </c>
      <c r="N38" s="1155" t="s">
        <v>3</v>
      </c>
      <c r="O38" s="2149" t="s">
        <v>3</v>
      </c>
      <c r="Q38" s="2250" t="s">
        <v>1544</v>
      </c>
      <c r="R38" s="2253">
        <f t="shared" si="8"/>
        <v>5.223315669947004E-2</v>
      </c>
      <c r="S38" s="2253">
        <f t="shared" si="9"/>
        <v>5.065666041275807E-2</v>
      </c>
      <c r="T38" s="2253"/>
      <c r="U38" s="2253"/>
      <c r="V38" s="2253"/>
      <c r="W38" s="2253"/>
    </row>
    <row r="39" spans="1:23" ht="15" customHeight="1" thickBot="1">
      <c r="A39" s="2099" t="s">
        <v>1199</v>
      </c>
      <c r="B39" s="2125">
        <f>Комплекты!B39*0.61</f>
        <v>21197.5</v>
      </c>
      <c r="C39" s="2082">
        <f>Комплекты!C39*0.61</f>
        <v>25620</v>
      </c>
      <c r="D39" s="1155" t="s">
        <v>3</v>
      </c>
      <c r="E39" s="2145" t="s">
        <v>3</v>
      </c>
      <c r="F39" s="1155" t="s">
        <v>3</v>
      </c>
      <c r="G39" s="2149" t="s">
        <v>3</v>
      </c>
      <c r="I39" s="2250" t="s">
        <v>1199</v>
      </c>
      <c r="J39" s="2125">
        <v>20145.25</v>
      </c>
      <c r="K39" s="2124">
        <v>24384.75</v>
      </c>
      <c r="L39" s="1155" t="s">
        <v>3</v>
      </c>
      <c r="M39" s="2145" t="s">
        <v>3</v>
      </c>
      <c r="N39" s="1155" t="s">
        <v>3</v>
      </c>
      <c r="O39" s="2149" t="s">
        <v>3</v>
      </c>
      <c r="Q39" s="2250" t="s">
        <v>1199</v>
      </c>
      <c r="R39" s="2253">
        <f t="shared" si="8"/>
        <v>5.223315669947004E-2</v>
      </c>
      <c r="S39" s="2253">
        <f t="shared" si="9"/>
        <v>5.065666041275807E-2</v>
      </c>
      <c r="T39" s="2253"/>
      <c r="U39" s="2253"/>
      <c r="V39" s="2253"/>
      <c r="W39" s="2253"/>
    </row>
    <row r="40" spans="1:23" ht="15.75" thickBot="1">
      <c r="A40" s="2099" t="s">
        <v>1986</v>
      </c>
      <c r="B40" s="2125">
        <f>Комплекты!B40*0.61</f>
        <v>21197.5</v>
      </c>
      <c r="C40" s="2082">
        <f>Комплекты!C40*0.61</f>
        <v>25620</v>
      </c>
      <c r="D40" s="1155" t="s">
        <v>3</v>
      </c>
      <c r="E40" s="2145" t="s">
        <v>3</v>
      </c>
      <c r="F40" s="1155" t="s">
        <v>3</v>
      </c>
      <c r="G40" s="2149" t="s">
        <v>3</v>
      </c>
      <c r="I40" s="2250" t="s">
        <v>1986</v>
      </c>
      <c r="J40" s="2125">
        <v>20145.25</v>
      </c>
      <c r="K40" s="2124">
        <v>24384.75</v>
      </c>
      <c r="L40" s="1155" t="s">
        <v>3</v>
      </c>
      <c r="M40" s="2145" t="s">
        <v>3</v>
      </c>
      <c r="N40" s="1155" t="s">
        <v>3</v>
      </c>
      <c r="O40" s="2149" t="s">
        <v>3</v>
      </c>
      <c r="Q40" s="2250" t="s">
        <v>1986</v>
      </c>
      <c r="R40" s="2253">
        <f t="shared" si="8"/>
        <v>5.223315669947004E-2</v>
      </c>
      <c r="S40" s="2253">
        <f t="shared" si="9"/>
        <v>5.065666041275807E-2</v>
      </c>
      <c r="T40" s="2253"/>
      <c r="U40" s="2253"/>
      <c r="V40" s="2253"/>
      <c r="W40" s="2253"/>
    </row>
    <row r="41" spans="1:23" ht="15.75" thickBot="1">
      <c r="A41" s="2099" t="s">
        <v>889</v>
      </c>
      <c r="B41" s="2125">
        <f>Комплекты!B41*0.61</f>
        <v>21197.5</v>
      </c>
      <c r="C41" s="2126" t="s">
        <v>3</v>
      </c>
      <c r="D41" s="1155" t="s">
        <v>3</v>
      </c>
      <c r="E41" s="2145" t="s">
        <v>3</v>
      </c>
      <c r="F41" s="1155" t="s">
        <v>3</v>
      </c>
      <c r="G41" s="2149" t="s">
        <v>3</v>
      </c>
      <c r="I41" s="2250" t="s">
        <v>889</v>
      </c>
      <c r="J41" s="2125">
        <v>20145.25</v>
      </c>
      <c r="K41" s="2126" t="s">
        <v>3</v>
      </c>
      <c r="L41" s="1155" t="s">
        <v>3</v>
      </c>
      <c r="M41" s="2145" t="s">
        <v>3</v>
      </c>
      <c r="N41" s="1155" t="s">
        <v>3</v>
      </c>
      <c r="O41" s="2149" t="s">
        <v>3</v>
      </c>
      <c r="Q41" s="2250" t="s">
        <v>889</v>
      </c>
      <c r="R41" s="2253">
        <f t="shared" si="8"/>
        <v>5.223315669947004E-2</v>
      </c>
      <c r="S41" s="2253"/>
      <c r="T41" s="2253"/>
      <c r="U41" s="2253"/>
      <c r="V41" s="2253"/>
      <c r="W41" s="2253"/>
    </row>
    <row r="42" spans="1:23" ht="15.75" thickBot="1">
      <c r="A42" s="2100" t="s">
        <v>890</v>
      </c>
      <c r="B42" s="2137">
        <f>Комплекты!B42*0.61</f>
        <v>21197.5</v>
      </c>
      <c r="C42" s="2136" t="s">
        <v>3</v>
      </c>
      <c r="D42" s="2150" t="s">
        <v>3</v>
      </c>
      <c r="E42" s="2146" t="s">
        <v>3</v>
      </c>
      <c r="F42" s="2150" t="s">
        <v>3</v>
      </c>
      <c r="G42" s="2151" t="s">
        <v>3</v>
      </c>
      <c r="I42" s="2100" t="s">
        <v>890</v>
      </c>
      <c r="J42" s="2137">
        <v>20145.25</v>
      </c>
      <c r="K42" s="2136" t="s">
        <v>3</v>
      </c>
      <c r="L42" s="2150" t="s">
        <v>3</v>
      </c>
      <c r="M42" s="2146" t="s">
        <v>3</v>
      </c>
      <c r="N42" s="2150" t="s">
        <v>3</v>
      </c>
      <c r="O42" s="2151" t="s">
        <v>3</v>
      </c>
      <c r="Q42" s="2100" t="s">
        <v>890</v>
      </c>
      <c r="R42" s="2253">
        <f t="shared" si="8"/>
        <v>5.223315669947004E-2</v>
      </c>
      <c r="S42" s="2253"/>
      <c r="T42" s="2253"/>
      <c r="U42" s="2253"/>
      <c r="V42" s="2253"/>
      <c r="W42" s="2253"/>
    </row>
    <row r="43" spans="1:23" ht="15.75" thickBot="1">
      <c r="A43" s="2104" t="s">
        <v>2012</v>
      </c>
      <c r="B43" s="2153">
        <f>Комплекты!B43*0.61</f>
        <v>22417.5</v>
      </c>
      <c r="C43" s="2152" t="s">
        <v>3</v>
      </c>
      <c r="D43" s="2154" t="s">
        <v>3</v>
      </c>
      <c r="E43" s="2155" t="s">
        <v>3</v>
      </c>
      <c r="F43" s="2154" t="s">
        <v>3</v>
      </c>
      <c r="G43" s="2156" t="s">
        <v>3</v>
      </c>
      <c r="I43" s="2104" t="s">
        <v>2012</v>
      </c>
      <c r="J43" s="2153">
        <v>21334.75</v>
      </c>
      <c r="K43" s="2152" t="s">
        <v>3</v>
      </c>
      <c r="L43" s="2154" t="s">
        <v>3</v>
      </c>
      <c r="M43" s="2155" t="s">
        <v>3</v>
      </c>
      <c r="N43" s="2154" t="s">
        <v>3</v>
      </c>
      <c r="O43" s="2156" t="s">
        <v>3</v>
      </c>
      <c r="Q43" s="2104" t="s">
        <v>2012</v>
      </c>
      <c r="R43" s="2253">
        <f t="shared" si="8"/>
        <v>5.0750536097212251E-2</v>
      </c>
      <c r="S43" s="2253"/>
      <c r="T43" s="2253"/>
      <c r="U43" s="2253"/>
      <c r="V43" s="2253"/>
      <c r="W43" s="2253"/>
    </row>
    <row r="44" spans="1:23" ht="15.75" thickBot="1">
      <c r="A44" s="2104" t="s">
        <v>2013</v>
      </c>
      <c r="B44" s="2153">
        <f>Комплекты!B44*0.61</f>
        <v>24918.5</v>
      </c>
      <c r="C44" s="2152" t="s">
        <v>3</v>
      </c>
      <c r="D44" s="2154" t="s">
        <v>3</v>
      </c>
      <c r="E44" s="2155" t="s">
        <v>3</v>
      </c>
      <c r="F44" s="2154" t="s">
        <v>3</v>
      </c>
      <c r="G44" s="2156" t="s">
        <v>3</v>
      </c>
      <c r="I44" s="2104" t="s">
        <v>2013</v>
      </c>
      <c r="J44" s="2153">
        <v>23744.25</v>
      </c>
      <c r="K44" s="2152" t="s">
        <v>3</v>
      </c>
      <c r="L44" s="2154" t="s">
        <v>3</v>
      </c>
      <c r="M44" s="2155" t="s">
        <v>3</v>
      </c>
      <c r="N44" s="2154" t="s">
        <v>3</v>
      </c>
      <c r="O44" s="2156" t="s">
        <v>3</v>
      </c>
      <c r="Q44" s="2104" t="s">
        <v>2013</v>
      </c>
      <c r="R44" s="2253">
        <f t="shared" si="8"/>
        <v>4.9454078355812392E-2</v>
      </c>
      <c r="S44" s="2253"/>
      <c r="T44" s="2253"/>
      <c r="U44" s="2253"/>
      <c r="V44" s="2253"/>
      <c r="W44" s="2253"/>
    </row>
    <row r="45" spans="1:23" ht="15.75" thickBot="1">
      <c r="A45" s="2104" t="s">
        <v>2014</v>
      </c>
      <c r="B45" s="2153">
        <f>Комплекты!B45*0.61</f>
        <v>28731</v>
      </c>
      <c r="C45" s="2152" t="s">
        <v>3</v>
      </c>
      <c r="D45" s="2154" t="s">
        <v>3</v>
      </c>
      <c r="E45" s="2155" t="s">
        <v>3</v>
      </c>
      <c r="F45" s="2154" t="s">
        <v>3</v>
      </c>
      <c r="G45" s="2156" t="s">
        <v>3</v>
      </c>
      <c r="I45" s="2104" t="s">
        <v>2014</v>
      </c>
      <c r="J45" s="2153">
        <v>27367.649999999998</v>
      </c>
      <c r="K45" s="2152" t="s">
        <v>3</v>
      </c>
      <c r="L45" s="2154" t="s">
        <v>3</v>
      </c>
      <c r="M45" s="2155" t="s">
        <v>3</v>
      </c>
      <c r="N45" s="2154" t="s">
        <v>3</v>
      </c>
      <c r="O45" s="2156" t="s">
        <v>3</v>
      </c>
      <c r="Q45" s="2104" t="s">
        <v>2014</v>
      </c>
      <c r="R45" s="2253">
        <f t="shared" si="8"/>
        <v>4.98161150117018E-2</v>
      </c>
      <c r="S45" s="2253"/>
      <c r="T45" s="2253"/>
      <c r="U45" s="2253"/>
      <c r="V45" s="2253"/>
      <c r="W45" s="2253"/>
    </row>
    <row r="46" spans="1:23" ht="15.75" thickBot="1">
      <c r="A46" s="2104" t="s">
        <v>2015</v>
      </c>
      <c r="B46" s="2153">
        <f>Комплекты!B46*0.61</f>
        <v>28731</v>
      </c>
      <c r="C46" s="2152" t="s">
        <v>3</v>
      </c>
      <c r="D46" s="2154" t="s">
        <v>3</v>
      </c>
      <c r="E46" s="2155" t="s">
        <v>3</v>
      </c>
      <c r="F46" s="2154" t="s">
        <v>3</v>
      </c>
      <c r="G46" s="2156" t="s">
        <v>3</v>
      </c>
      <c r="I46" s="2104" t="s">
        <v>2015</v>
      </c>
      <c r="J46" s="2153">
        <v>27367.649999999998</v>
      </c>
      <c r="K46" s="2152" t="s">
        <v>3</v>
      </c>
      <c r="L46" s="2154" t="s">
        <v>3</v>
      </c>
      <c r="M46" s="2155" t="s">
        <v>3</v>
      </c>
      <c r="N46" s="2154" t="s">
        <v>3</v>
      </c>
      <c r="O46" s="2156" t="s">
        <v>3</v>
      </c>
      <c r="Q46" s="2104" t="s">
        <v>2015</v>
      </c>
      <c r="R46" s="2253">
        <f t="shared" si="8"/>
        <v>4.98161150117018E-2</v>
      </c>
      <c r="S46" s="2253"/>
      <c r="T46" s="2253"/>
      <c r="U46" s="2253"/>
      <c r="V46" s="2253"/>
      <c r="W46" s="2253"/>
    </row>
    <row r="47" spans="1:23" ht="15.75" thickBot="1">
      <c r="A47" s="2105" t="s">
        <v>2016</v>
      </c>
      <c r="B47" s="2158">
        <f>Комплекты!B47*0.61</f>
        <v>29768</v>
      </c>
      <c r="C47" s="2157" t="s">
        <v>3</v>
      </c>
      <c r="D47" s="2159" t="s">
        <v>3</v>
      </c>
      <c r="E47" s="2160" t="s">
        <v>3</v>
      </c>
      <c r="F47" s="2159" t="s">
        <v>3</v>
      </c>
      <c r="G47" s="2161" t="s">
        <v>3</v>
      </c>
      <c r="I47" s="2105" t="s">
        <v>2016</v>
      </c>
      <c r="J47" s="2158">
        <v>28337.55</v>
      </c>
      <c r="K47" s="2157" t="s">
        <v>3</v>
      </c>
      <c r="L47" s="2159" t="s">
        <v>3</v>
      </c>
      <c r="M47" s="2160" t="s">
        <v>3</v>
      </c>
      <c r="N47" s="2159" t="s">
        <v>3</v>
      </c>
      <c r="O47" s="2161" t="s">
        <v>3</v>
      </c>
      <c r="Q47" s="2105" t="s">
        <v>2016</v>
      </c>
      <c r="R47" s="2253">
        <f t="shared" si="8"/>
        <v>5.0478958131525253E-2</v>
      </c>
      <c r="S47" s="2253"/>
      <c r="T47" s="2253"/>
      <c r="U47" s="2253"/>
      <c r="V47" s="2253"/>
      <c r="W47" s="2253"/>
    </row>
    <row r="48" spans="1:23" ht="15.75" thickBot="1">
      <c r="A48" s="2098" t="s">
        <v>700</v>
      </c>
      <c r="B48" s="2144"/>
      <c r="C48" s="2122" t="s">
        <v>3</v>
      </c>
      <c r="D48" s="2088">
        <f>Комплекты!D48*0.61</f>
        <v>23805.25</v>
      </c>
      <c r="E48" s="2083">
        <f>Комплекты!E48*0.61</f>
        <v>25696.25</v>
      </c>
      <c r="F48" s="2147" t="s">
        <v>3</v>
      </c>
      <c r="G48" s="2084">
        <f>Комплекты!G48*0.61</f>
        <v>27840.399999999998</v>
      </c>
      <c r="H48" s="2081"/>
      <c r="I48" s="2098" t="s">
        <v>700</v>
      </c>
      <c r="J48" s="2144"/>
      <c r="K48" s="2122" t="s">
        <v>3</v>
      </c>
      <c r="L48" s="2088">
        <v>22685.899999999998</v>
      </c>
      <c r="M48" s="2083">
        <v>24369.5</v>
      </c>
      <c r="N48" s="2147" t="s">
        <v>3</v>
      </c>
      <c r="O48" s="2084">
        <v>26592.95</v>
      </c>
      <c r="Q48" s="2098" t="s">
        <v>700</v>
      </c>
      <c r="R48" s="2253"/>
      <c r="S48" s="2253"/>
      <c r="T48" s="2253">
        <f t="shared" ref="T48:U52" si="10">D48/L48-1</f>
        <v>4.9341220758268411E-2</v>
      </c>
      <c r="U48" s="2253">
        <f t="shared" si="10"/>
        <v>5.4443053817271547E-2</v>
      </c>
      <c r="V48" s="2253"/>
      <c r="W48" s="2253">
        <f>G48/O48-1</f>
        <v>4.6909049202890074E-2</v>
      </c>
    </row>
    <row r="49" spans="1:23" ht="15.75" thickBot="1">
      <c r="A49" s="2099" t="s">
        <v>1987</v>
      </c>
      <c r="B49" s="2128"/>
      <c r="C49" s="2126" t="s">
        <v>3</v>
      </c>
      <c r="D49" s="2089">
        <f>Комплекты!D49*0.61</f>
        <v>23805.25</v>
      </c>
      <c r="E49" s="2082">
        <f>Комплекты!E49*0.61</f>
        <v>25696.25</v>
      </c>
      <c r="F49" s="1155" t="s">
        <v>3</v>
      </c>
      <c r="G49" s="2085">
        <f>Комплекты!G49*0.61</f>
        <v>27840.399999999998</v>
      </c>
      <c r="H49" s="2081"/>
      <c r="I49" s="2250" t="s">
        <v>1987</v>
      </c>
      <c r="J49" s="2128"/>
      <c r="K49" s="2126" t="s">
        <v>3</v>
      </c>
      <c r="L49" s="2089">
        <v>22685.899999999998</v>
      </c>
      <c r="M49" s="2082">
        <v>24369.5</v>
      </c>
      <c r="N49" s="1155" t="s">
        <v>3</v>
      </c>
      <c r="O49" s="2085">
        <v>26592.95</v>
      </c>
      <c r="Q49" s="2250" t="s">
        <v>1987</v>
      </c>
      <c r="R49" s="2253"/>
      <c r="S49" s="2253"/>
      <c r="T49" s="2253">
        <f t="shared" si="10"/>
        <v>4.9341220758268411E-2</v>
      </c>
      <c r="U49" s="2253">
        <f t="shared" si="10"/>
        <v>5.4443053817271547E-2</v>
      </c>
      <c r="V49" s="2253"/>
      <c r="W49" s="2253">
        <f>G49/O49-1</f>
        <v>4.6909049202890074E-2</v>
      </c>
    </row>
    <row r="50" spans="1:23" ht="15.75" thickBot="1">
      <c r="A50" s="2099" t="s">
        <v>1048</v>
      </c>
      <c r="B50" s="2128"/>
      <c r="C50" s="2126" t="s">
        <v>3</v>
      </c>
      <c r="D50" s="2089">
        <f>Комплекты!D50*0.61</f>
        <v>23805.25</v>
      </c>
      <c r="E50" s="2082">
        <f>Комплекты!E50*0.61</f>
        <v>25696.25</v>
      </c>
      <c r="F50" s="1155" t="s">
        <v>3</v>
      </c>
      <c r="G50" s="2085">
        <f>Комплекты!G50*0.61</f>
        <v>27840.399999999998</v>
      </c>
      <c r="H50" s="2081"/>
      <c r="I50" s="2250" t="s">
        <v>1048</v>
      </c>
      <c r="J50" s="2128"/>
      <c r="K50" s="2126" t="s">
        <v>3</v>
      </c>
      <c r="L50" s="2089">
        <v>22685.899999999998</v>
      </c>
      <c r="M50" s="2082">
        <v>24369.5</v>
      </c>
      <c r="N50" s="1155" t="s">
        <v>3</v>
      </c>
      <c r="O50" s="2085">
        <v>26592.95</v>
      </c>
      <c r="Q50" s="2250" t="s">
        <v>1048</v>
      </c>
      <c r="R50" s="2253"/>
      <c r="S50" s="2253"/>
      <c r="T50" s="2253">
        <f t="shared" si="10"/>
        <v>4.9341220758268411E-2</v>
      </c>
      <c r="U50" s="2253">
        <f t="shared" si="10"/>
        <v>5.4443053817271547E-2</v>
      </c>
      <c r="V50" s="2253"/>
      <c r="W50" s="2253">
        <f>G50/O50-1</f>
        <v>4.6909049202890074E-2</v>
      </c>
    </row>
    <row r="51" spans="1:23" ht="15.75" thickBot="1">
      <c r="A51" s="2099" t="s">
        <v>1988</v>
      </c>
      <c r="B51" s="2128"/>
      <c r="C51" s="2126" t="s">
        <v>3</v>
      </c>
      <c r="D51" s="2089">
        <f>Комплекты!D51*0.61</f>
        <v>23805.25</v>
      </c>
      <c r="E51" s="2082">
        <f>Комплекты!E51*0.61</f>
        <v>25696.25</v>
      </c>
      <c r="F51" s="1155" t="s">
        <v>3</v>
      </c>
      <c r="G51" s="2085">
        <f>Комплекты!G51*0.61</f>
        <v>27840.399999999998</v>
      </c>
      <c r="H51" s="2081"/>
      <c r="I51" s="2250" t="s">
        <v>1988</v>
      </c>
      <c r="J51" s="2128"/>
      <c r="K51" s="2126" t="s">
        <v>3</v>
      </c>
      <c r="L51" s="2089">
        <v>22685.899999999998</v>
      </c>
      <c r="M51" s="2082">
        <v>24369.5</v>
      </c>
      <c r="N51" s="1155" t="s">
        <v>3</v>
      </c>
      <c r="O51" s="2085">
        <v>26592.95</v>
      </c>
      <c r="Q51" s="2250" t="s">
        <v>1988</v>
      </c>
      <c r="R51" s="2253"/>
      <c r="S51" s="2253"/>
      <c r="T51" s="2253">
        <f t="shared" si="10"/>
        <v>4.9341220758268411E-2</v>
      </c>
      <c r="U51" s="2253">
        <f t="shared" si="10"/>
        <v>5.4443053817271547E-2</v>
      </c>
      <c r="V51" s="2253"/>
      <c r="W51" s="2253">
        <f>G51/O51-1</f>
        <v>4.6909049202890074E-2</v>
      </c>
    </row>
    <row r="52" spans="1:23" ht="15.75" thickBot="1">
      <c r="A52" s="2100" t="s">
        <v>701</v>
      </c>
      <c r="B52" s="2141"/>
      <c r="C52" s="2136" t="s">
        <v>3</v>
      </c>
      <c r="D52" s="2090">
        <f>Комплекты!D52*0.61</f>
        <v>27282.25</v>
      </c>
      <c r="E52" s="2086">
        <f>Комплекты!E52*0.61</f>
        <v>29173.25</v>
      </c>
      <c r="F52" s="2150" t="s">
        <v>3</v>
      </c>
      <c r="G52" s="2087">
        <f>Комплекты!G52*0.61</f>
        <v>31317.399999999998</v>
      </c>
      <c r="H52" s="2081"/>
      <c r="I52" s="2100" t="s">
        <v>701</v>
      </c>
      <c r="J52" s="2141"/>
      <c r="K52" s="2136" t="s">
        <v>3</v>
      </c>
      <c r="L52" s="2090">
        <v>25992.1</v>
      </c>
      <c r="M52" s="2086">
        <v>27675.7</v>
      </c>
      <c r="N52" s="2150" t="s">
        <v>3</v>
      </c>
      <c r="O52" s="2087">
        <v>29899.149999999998</v>
      </c>
      <c r="Q52" s="2100" t="s">
        <v>701</v>
      </c>
      <c r="R52" s="2253"/>
      <c r="S52" s="2253"/>
      <c r="T52" s="2253">
        <f t="shared" si="10"/>
        <v>4.9636235625440062E-2</v>
      </c>
      <c r="U52" s="2253">
        <f t="shared" si="10"/>
        <v>5.4110645801190183E-2</v>
      </c>
      <c r="V52" s="2253"/>
      <c r="W52" s="2253">
        <f>G52/O52-1</f>
        <v>4.7434458839130889E-2</v>
      </c>
    </row>
    <row r="53" spans="1:23" ht="15.75" thickBot="1">
      <c r="A53" s="2102" t="s">
        <v>706</v>
      </c>
      <c r="B53" s="2121">
        <f>Комплекты!B53*0.61</f>
        <v>24918.5</v>
      </c>
      <c r="C53" s="2122" t="s">
        <v>3</v>
      </c>
      <c r="D53" s="2144" t="s">
        <v>3</v>
      </c>
      <c r="E53" s="2122" t="s">
        <v>3</v>
      </c>
      <c r="F53" s="2144" t="s">
        <v>3</v>
      </c>
      <c r="G53" s="2162" t="s">
        <v>3</v>
      </c>
      <c r="H53" s="669"/>
      <c r="I53" s="2102" t="s">
        <v>706</v>
      </c>
      <c r="J53" s="2121">
        <v>23744.25</v>
      </c>
      <c r="K53" s="2122" t="s">
        <v>3</v>
      </c>
      <c r="L53" s="2144" t="s">
        <v>3</v>
      </c>
      <c r="M53" s="2122" t="s">
        <v>3</v>
      </c>
      <c r="N53" s="2144" t="s">
        <v>3</v>
      </c>
      <c r="O53" s="2162" t="s">
        <v>3</v>
      </c>
      <c r="Q53" s="2102" t="s">
        <v>706</v>
      </c>
      <c r="R53" s="2253">
        <f t="shared" ref="R53:R61" si="11">B53/J53-1</f>
        <v>4.9454078355812392E-2</v>
      </c>
      <c r="S53" s="2253"/>
      <c r="T53" s="2253"/>
      <c r="U53" s="2253"/>
      <c r="V53" s="2253"/>
      <c r="W53" s="2253"/>
    </row>
    <row r="54" spans="1:23" ht="15.75" thickBot="1">
      <c r="A54" s="2103" t="s">
        <v>707</v>
      </c>
      <c r="B54" s="2125">
        <f>Комплекты!B54*0.61</f>
        <v>26840</v>
      </c>
      <c r="C54" s="2126" t="s">
        <v>3</v>
      </c>
      <c r="D54" s="2128" t="s">
        <v>3</v>
      </c>
      <c r="E54" s="2126" t="s">
        <v>3</v>
      </c>
      <c r="F54" s="2128" t="s">
        <v>3</v>
      </c>
      <c r="G54" s="2129" t="s">
        <v>3</v>
      </c>
      <c r="H54" s="669"/>
      <c r="I54" s="2251" t="s">
        <v>707</v>
      </c>
      <c r="J54" s="2125">
        <v>25555.95</v>
      </c>
      <c r="K54" s="2126" t="s">
        <v>3</v>
      </c>
      <c r="L54" s="2128" t="s">
        <v>3</v>
      </c>
      <c r="M54" s="2126" t="s">
        <v>3</v>
      </c>
      <c r="N54" s="2128" t="s">
        <v>3</v>
      </c>
      <c r="O54" s="2129" t="s">
        <v>3</v>
      </c>
      <c r="Q54" s="2251" t="s">
        <v>707</v>
      </c>
      <c r="R54" s="2253">
        <f t="shared" si="11"/>
        <v>5.0244659267215663E-2</v>
      </c>
      <c r="S54" s="2253"/>
      <c r="T54" s="2253"/>
      <c r="U54" s="2253"/>
      <c r="V54" s="2253"/>
      <c r="W54" s="2253"/>
    </row>
    <row r="55" spans="1:23" ht="15.75" thickBot="1">
      <c r="A55" s="2103" t="s">
        <v>708</v>
      </c>
      <c r="B55" s="2125">
        <f>Комплекты!B55*0.61</f>
        <v>26840</v>
      </c>
      <c r="C55" s="2126" t="s">
        <v>3</v>
      </c>
      <c r="D55" s="2128" t="s">
        <v>3</v>
      </c>
      <c r="E55" s="2126" t="s">
        <v>3</v>
      </c>
      <c r="F55" s="2128" t="s">
        <v>3</v>
      </c>
      <c r="G55" s="2129" t="s">
        <v>3</v>
      </c>
      <c r="H55" s="669"/>
      <c r="I55" s="2251" t="s">
        <v>708</v>
      </c>
      <c r="J55" s="2125">
        <v>25555.95</v>
      </c>
      <c r="K55" s="2126" t="s">
        <v>3</v>
      </c>
      <c r="L55" s="2128" t="s">
        <v>3</v>
      </c>
      <c r="M55" s="2126" t="s">
        <v>3</v>
      </c>
      <c r="N55" s="2128" t="s">
        <v>3</v>
      </c>
      <c r="O55" s="2129" t="s">
        <v>3</v>
      </c>
      <c r="Q55" s="2251" t="s">
        <v>708</v>
      </c>
      <c r="R55" s="2253">
        <f t="shared" si="11"/>
        <v>5.0244659267215663E-2</v>
      </c>
      <c r="S55" s="2253"/>
      <c r="T55" s="2253"/>
      <c r="U55" s="2253"/>
      <c r="V55" s="2253"/>
      <c r="W55" s="2253"/>
    </row>
    <row r="56" spans="1:23" ht="15.75" thickBot="1">
      <c r="A56" s="2106" t="s">
        <v>709</v>
      </c>
      <c r="B56" s="2137">
        <f>Комплекты!B56*0.61</f>
        <v>28731</v>
      </c>
      <c r="C56" s="2136" t="s">
        <v>3</v>
      </c>
      <c r="D56" s="2141" t="s">
        <v>3</v>
      </c>
      <c r="E56" s="2136" t="s">
        <v>3</v>
      </c>
      <c r="F56" s="2141" t="s">
        <v>3</v>
      </c>
      <c r="G56" s="2142" t="s">
        <v>3</v>
      </c>
      <c r="H56" s="669"/>
      <c r="I56" s="2106" t="s">
        <v>709</v>
      </c>
      <c r="J56" s="2137">
        <v>27367.649999999998</v>
      </c>
      <c r="K56" s="2136" t="s">
        <v>3</v>
      </c>
      <c r="L56" s="2141" t="s">
        <v>3</v>
      </c>
      <c r="M56" s="2136" t="s">
        <v>3</v>
      </c>
      <c r="N56" s="2141" t="s">
        <v>3</v>
      </c>
      <c r="O56" s="2142" t="s">
        <v>3</v>
      </c>
      <c r="Q56" s="2106" t="s">
        <v>709</v>
      </c>
      <c r="R56" s="2253">
        <f t="shared" si="11"/>
        <v>4.98161150117018E-2</v>
      </c>
      <c r="S56" s="2253"/>
      <c r="T56" s="2253"/>
      <c r="U56" s="2253"/>
      <c r="V56" s="2253"/>
      <c r="W56" s="2253"/>
    </row>
    <row r="57" spans="1:23" ht="15.75" thickBot="1">
      <c r="A57" s="2102" t="s">
        <v>223</v>
      </c>
      <c r="B57" s="2121">
        <f>Комплекты!B57*0.61</f>
        <v>32665.5</v>
      </c>
      <c r="C57" s="2122" t="s">
        <v>3</v>
      </c>
      <c r="D57" s="2144" t="s">
        <v>3</v>
      </c>
      <c r="E57" s="2122" t="s">
        <v>3</v>
      </c>
      <c r="F57" s="2144" t="s">
        <v>3</v>
      </c>
      <c r="G57" s="2162" t="s">
        <v>3</v>
      </c>
      <c r="H57" s="669"/>
      <c r="I57" s="2102" t="s">
        <v>223</v>
      </c>
      <c r="J57" s="2121">
        <v>31113.05</v>
      </c>
      <c r="K57" s="2122" t="s">
        <v>3</v>
      </c>
      <c r="L57" s="2144" t="s">
        <v>3</v>
      </c>
      <c r="M57" s="2122" t="s">
        <v>3</v>
      </c>
      <c r="N57" s="2144" t="s">
        <v>3</v>
      </c>
      <c r="O57" s="2162" t="s">
        <v>3</v>
      </c>
      <c r="Q57" s="2102" t="s">
        <v>223</v>
      </c>
      <c r="R57" s="2253">
        <f t="shared" si="11"/>
        <v>4.9897068914812381E-2</v>
      </c>
      <c r="S57" s="2253"/>
      <c r="T57" s="2253"/>
      <c r="U57" s="2253"/>
      <c r="V57" s="2253"/>
      <c r="W57" s="2253"/>
    </row>
    <row r="58" spans="1:23" ht="24.75" thickBot="1">
      <c r="A58" s="2103" t="s">
        <v>1990</v>
      </c>
      <c r="B58" s="2125">
        <f>Комплекты!B58*0.61</f>
        <v>38003</v>
      </c>
      <c r="C58" s="2126" t="s">
        <v>3</v>
      </c>
      <c r="D58" s="2128" t="s">
        <v>3</v>
      </c>
      <c r="E58" s="2126" t="s">
        <v>3</v>
      </c>
      <c r="F58" s="2128" t="s">
        <v>3</v>
      </c>
      <c r="G58" s="2129" t="s">
        <v>3</v>
      </c>
      <c r="H58" s="669"/>
      <c r="I58" s="2251" t="s">
        <v>1990</v>
      </c>
      <c r="J58" s="2125">
        <v>36188.25</v>
      </c>
      <c r="K58" s="2126" t="s">
        <v>3</v>
      </c>
      <c r="L58" s="2128" t="s">
        <v>3</v>
      </c>
      <c r="M58" s="2126" t="s">
        <v>3</v>
      </c>
      <c r="N58" s="2128" t="s">
        <v>3</v>
      </c>
      <c r="O58" s="2129" t="s">
        <v>3</v>
      </c>
      <c r="Q58" s="2251" t="s">
        <v>1990</v>
      </c>
      <c r="R58" s="2253">
        <f t="shared" si="11"/>
        <v>5.0147492625368661E-2</v>
      </c>
      <c r="S58" s="2253"/>
      <c r="T58" s="2253"/>
      <c r="U58" s="2253"/>
      <c r="V58" s="2253"/>
      <c r="W58" s="2253"/>
    </row>
    <row r="59" spans="1:23" ht="15.75" thickBot="1">
      <c r="A59" s="2103" t="s">
        <v>1991</v>
      </c>
      <c r="B59" s="2125">
        <f>Комплекты!B59*0.61</f>
        <v>47854.5</v>
      </c>
      <c r="C59" s="2126" t="s">
        <v>3</v>
      </c>
      <c r="D59" s="2128" t="s">
        <v>3</v>
      </c>
      <c r="E59" s="2126" t="s">
        <v>3</v>
      </c>
      <c r="F59" s="2128" t="s">
        <v>3</v>
      </c>
      <c r="G59" s="2129" t="s">
        <v>3</v>
      </c>
      <c r="H59" s="669"/>
      <c r="I59" s="2251" t="s">
        <v>1991</v>
      </c>
      <c r="J59" s="2125">
        <v>45545.65</v>
      </c>
      <c r="K59" s="2126" t="s">
        <v>3</v>
      </c>
      <c r="L59" s="2128" t="s">
        <v>3</v>
      </c>
      <c r="M59" s="2126" t="s">
        <v>3</v>
      </c>
      <c r="N59" s="2128" t="s">
        <v>3</v>
      </c>
      <c r="O59" s="2129" t="s">
        <v>3</v>
      </c>
      <c r="Q59" s="2251" t="s">
        <v>1991</v>
      </c>
      <c r="R59" s="2253">
        <f t="shared" si="11"/>
        <v>5.0693095828031831E-2</v>
      </c>
      <c r="S59" s="2253"/>
      <c r="T59" s="2253"/>
      <c r="U59" s="2253"/>
      <c r="V59" s="2253"/>
      <c r="W59" s="2253"/>
    </row>
    <row r="60" spans="1:23" ht="15.75" thickBot="1">
      <c r="A60" s="2103" t="s">
        <v>1992</v>
      </c>
      <c r="B60" s="2125">
        <f>Комплекты!B60*0.61</f>
        <v>51813.4</v>
      </c>
      <c r="C60" s="2126" t="s">
        <v>3</v>
      </c>
      <c r="D60" s="2128" t="s">
        <v>3</v>
      </c>
      <c r="E60" s="2126" t="s">
        <v>3</v>
      </c>
      <c r="F60" s="2128" t="s">
        <v>3</v>
      </c>
      <c r="G60" s="2129" t="s">
        <v>3</v>
      </c>
      <c r="H60" s="669"/>
      <c r="I60" s="2251" t="s">
        <v>1992</v>
      </c>
      <c r="J60" s="2125">
        <v>49311.79</v>
      </c>
      <c r="K60" s="2126" t="s">
        <v>3</v>
      </c>
      <c r="L60" s="2128" t="s">
        <v>3</v>
      </c>
      <c r="M60" s="2126" t="s">
        <v>3</v>
      </c>
      <c r="N60" s="2128" t="s">
        <v>3</v>
      </c>
      <c r="O60" s="2129" t="s">
        <v>3</v>
      </c>
      <c r="Q60" s="2251" t="s">
        <v>1992</v>
      </c>
      <c r="R60" s="2253">
        <f t="shared" si="11"/>
        <v>5.0730464256113939E-2</v>
      </c>
      <c r="S60" s="2253"/>
      <c r="T60" s="2253"/>
      <c r="U60" s="2253"/>
      <c r="V60" s="2253"/>
      <c r="W60" s="2253"/>
    </row>
    <row r="61" spans="1:23" ht="15.75" thickBot="1">
      <c r="A61" s="2106" t="s">
        <v>1989</v>
      </c>
      <c r="B61" s="2137">
        <f>Комплекты!B61*0.61</f>
        <v>47854.5</v>
      </c>
      <c r="C61" s="2136" t="s">
        <v>3</v>
      </c>
      <c r="D61" s="2141" t="s">
        <v>3</v>
      </c>
      <c r="E61" s="2136" t="s">
        <v>3</v>
      </c>
      <c r="F61" s="2141" t="s">
        <v>3</v>
      </c>
      <c r="G61" s="2142" t="s">
        <v>3</v>
      </c>
      <c r="H61" s="669"/>
      <c r="I61" s="2106" t="s">
        <v>1989</v>
      </c>
      <c r="J61" s="2137">
        <v>45545.65</v>
      </c>
      <c r="K61" s="2136" t="s">
        <v>3</v>
      </c>
      <c r="L61" s="2141" t="s">
        <v>3</v>
      </c>
      <c r="M61" s="2136" t="s">
        <v>3</v>
      </c>
      <c r="N61" s="2141" t="s">
        <v>3</v>
      </c>
      <c r="O61" s="2142" t="s">
        <v>3</v>
      </c>
      <c r="Q61" s="2106" t="s">
        <v>1989</v>
      </c>
      <c r="R61" s="2253">
        <f t="shared" si="11"/>
        <v>5.0693095828031831E-2</v>
      </c>
      <c r="S61" s="2253"/>
      <c r="T61" s="2253"/>
      <c r="U61" s="2253"/>
      <c r="V61" s="2253"/>
      <c r="W61" s="2253"/>
    </row>
    <row r="62" spans="1:23" ht="15.75" customHeight="1" thickBot="1">
      <c r="A62" s="2107" t="s">
        <v>1993</v>
      </c>
      <c r="B62" s="2144"/>
      <c r="C62" s="2122" t="s">
        <v>3</v>
      </c>
      <c r="D62" s="2144" t="s">
        <v>3</v>
      </c>
      <c r="E62" s="2120">
        <f>Комплекты!E62*0.61</f>
        <v>30271.25</v>
      </c>
      <c r="F62" s="2121">
        <f>Комплекты!F62*0.61</f>
        <v>31509.55</v>
      </c>
      <c r="G62" s="2123">
        <f>Комплекты!G62*0.61</f>
        <v>32824.1</v>
      </c>
      <c r="H62" s="669"/>
      <c r="I62" s="2107" t="s">
        <v>1993</v>
      </c>
      <c r="J62" s="2144"/>
      <c r="K62" s="2122" t="s">
        <v>3</v>
      </c>
      <c r="L62" s="2144" t="s">
        <v>3</v>
      </c>
      <c r="M62" s="2120">
        <v>28749.3</v>
      </c>
      <c r="N62" s="2121">
        <v>30097.399999999998</v>
      </c>
      <c r="O62" s="2123">
        <v>31369.25</v>
      </c>
      <c r="Q62" s="2107" t="s">
        <v>1993</v>
      </c>
      <c r="R62" s="2253"/>
      <c r="S62" s="2253"/>
      <c r="T62" s="2253"/>
      <c r="U62" s="2253">
        <f t="shared" ref="U62:U67" si="12">E62/M62-1</f>
        <v>5.2938680246127801E-2</v>
      </c>
      <c r="V62" s="2253"/>
      <c r="W62" s="2253">
        <f>G62/O62-1</f>
        <v>4.6378220709771378E-2</v>
      </c>
    </row>
    <row r="63" spans="1:23" ht="15.75" customHeight="1" thickBot="1">
      <c r="A63" s="2108" t="s">
        <v>1846</v>
      </c>
      <c r="B63" s="2128"/>
      <c r="C63" s="2126" t="s">
        <v>3</v>
      </c>
      <c r="D63" s="2128" t="s">
        <v>3</v>
      </c>
      <c r="E63" s="2124">
        <f>Комплекты!E63*0.61</f>
        <v>31704.75</v>
      </c>
      <c r="F63" s="2125">
        <f>Комплекты!F63*0.61</f>
        <v>32943.050000000003</v>
      </c>
      <c r="G63" s="2127">
        <f>Комплекты!G63*0.61</f>
        <v>34257.599999999999</v>
      </c>
      <c r="H63" s="669"/>
      <c r="I63" s="2108" t="s">
        <v>1846</v>
      </c>
      <c r="J63" s="2128"/>
      <c r="K63" s="2126" t="s">
        <v>3</v>
      </c>
      <c r="L63" s="2128" t="s">
        <v>3</v>
      </c>
      <c r="M63" s="2124">
        <v>30091.3</v>
      </c>
      <c r="N63" s="2125">
        <v>31439.399999999998</v>
      </c>
      <c r="O63" s="2127">
        <v>32711.25</v>
      </c>
      <c r="Q63" s="2108" t="s">
        <v>1846</v>
      </c>
      <c r="R63" s="2253"/>
      <c r="S63" s="2253"/>
      <c r="T63" s="2253"/>
      <c r="U63" s="2253">
        <f t="shared" si="12"/>
        <v>5.3618487735657805E-2</v>
      </c>
      <c r="V63" s="2253"/>
      <c r="W63" s="2253">
        <f>G63/O63-1</f>
        <v>4.7272727272727133E-2</v>
      </c>
    </row>
    <row r="64" spans="1:23" ht="15.75" customHeight="1" thickBot="1">
      <c r="A64" s="2109" t="s">
        <v>2026</v>
      </c>
      <c r="B64" s="2128"/>
      <c r="C64" s="2126" t="s">
        <v>3</v>
      </c>
      <c r="D64" s="2128" t="s">
        <v>3</v>
      </c>
      <c r="E64" s="2124">
        <f>Комплекты!E64*0.61</f>
        <v>31704.75</v>
      </c>
      <c r="F64" s="2125">
        <f>Комплекты!F64*0.61</f>
        <v>32943.050000000003</v>
      </c>
      <c r="G64" s="2127">
        <f>Комплекты!G64*0.61</f>
        <v>34257.599999999999</v>
      </c>
      <c r="H64" s="669"/>
      <c r="I64" s="2109" t="s">
        <v>2026</v>
      </c>
      <c r="J64" s="2128"/>
      <c r="K64" s="2126" t="s">
        <v>3</v>
      </c>
      <c r="L64" s="2128" t="s">
        <v>3</v>
      </c>
      <c r="M64" s="2124">
        <v>31677.3</v>
      </c>
      <c r="N64" s="2125">
        <v>33025.4</v>
      </c>
      <c r="O64" s="2127">
        <v>34297.25</v>
      </c>
      <c r="Q64" s="2109" t="s">
        <v>2026</v>
      </c>
      <c r="R64" s="2253"/>
      <c r="S64" s="2253"/>
      <c r="T64" s="2253"/>
      <c r="U64" s="2253">
        <f t="shared" si="12"/>
        <v>8.6655112651645716E-4</v>
      </c>
      <c r="V64" s="2253"/>
      <c r="W64" s="2253">
        <f>G64/O64-1</f>
        <v>-1.1560693641619046E-3</v>
      </c>
    </row>
    <row r="65" spans="1:23" ht="15.75" customHeight="1" thickBot="1">
      <c r="A65" s="2108" t="s">
        <v>1994</v>
      </c>
      <c r="B65" s="2128"/>
      <c r="C65" s="2126" t="s">
        <v>3</v>
      </c>
      <c r="D65" s="2128" t="s">
        <v>3</v>
      </c>
      <c r="E65" s="2124">
        <f>Комплекты!E65*0.61</f>
        <v>37103.25</v>
      </c>
      <c r="F65" s="2128" t="s">
        <v>3</v>
      </c>
      <c r="G65" s="2129" t="s">
        <v>3</v>
      </c>
      <c r="H65" s="669"/>
      <c r="I65" s="2108" t="s">
        <v>1994</v>
      </c>
      <c r="J65" s="2128"/>
      <c r="K65" s="2126" t="s">
        <v>3</v>
      </c>
      <c r="L65" s="2128" t="s">
        <v>3</v>
      </c>
      <c r="M65" s="2124">
        <v>35227.5</v>
      </c>
      <c r="N65" s="2128" t="s">
        <v>3</v>
      </c>
      <c r="O65" s="2129" t="s">
        <v>3</v>
      </c>
      <c r="Q65" s="2108" t="s">
        <v>1994</v>
      </c>
      <c r="R65" s="2253"/>
      <c r="S65" s="2253"/>
      <c r="T65" s="2253"/>
      <c r="U65" s="2253">
        <f t="shared" si="12"/>
        <v>5.324675324675332E-2</v>
      </c>
      <c r="V65" s="2253"/>
      <c r="W65" s="2253"/>
    </row>
    <row r="66" spans="1:23" ht="15.75" customHeight="1" thickBot="1">
      <c r="A66" s="2109" t="s">
        <v>2027</v>
      </c>
      <c r="B66" s="2125">
        <f>Комплекты!B66*0.61</f>
        <v>29005.5</v>
      </c>
      <c r="C66" s="2126" t="s">
        <v>3</v>
      </c>
      <c r="D66" s="2128" t="s">
        <v>3</v>
      </c>
      <c r="E66" s="2124">
        <f>Комплекты!E66*0.61</f>
        <v>33961.75</v>
      </c>
      <c r="F66" s="2128" t="s">
        <v>3</v>
      </c>
      <c r="G66" s="2129" t="s">
        <v>3</v>
      </c>
      <c r="H66" s="669"/>
      <c r="I66" s="2109" t="s">
        <v>2027</v>
      </c>
      <c r="J66" s="2125">
        <v>27617.75</v>
      </c>
      <c r="K66" s="2126" t="s">
        <v>3</v>
      </c>
      <c r="L66" s="2128" t="s">
        <v>3</v>
      </c>
      <c r="M66" s="2124">
        <v>32238.5</v>
      </c>
      <c r="N66" s="2128" t="s">
        <v>3</v>
      </c>
      <c r="O66" s="2129" t="s">
        <v>3</v>
      </c>
      <c r="Q66" s="2109" t="s">
        <v>2027</v>
      </c>
      <c r="R66" s="2253">
        <f t="shared" ref="R66:R74" si="13">B66/J66-1</f>
        <v>5.0248481501932618E-2</v>
      </c>
      <c r="S66" s="2253"/>
      <c r="T66" s="2253"/>
      <c r="U66" s="2253">
        <f t="shared" si="12"/>
        <v>5.3453169347209117E-2</v>
      </c>
      <c r="V66" s="2253"/>
      <c r="W66" s="2253"/>
    </row>
    <row r="67" spans="1:23" ht="15" customHeight="1" thickBot="1">
      <c r="A67" s="2106" t="s">
        <v>1995</v>
      </c>
      <c r="B67" s="2137">
        <f>Комплекты!B67*0.61</f>
        <v>31903</v>
      </c>
      <c r="C67" s="2136" t="s">
        <v>3</v>
      </c>
      <c r="D67" s="2141" t="s">
        <v>3</v>
      </c>
      <c r="E67" s="2138">
        <f>Комплекты!E67*0.61</f>
        <v>37103.25</v>
      </c>
      <c r="F67" s="2141" t="s">
        <v>3</v>
      </c>
      <c r="G67" s="2142" t="s">
        <v>3</v>
      </c>
      <c r="H67" s="669"/>
      <c r="I67" s="2106" t="s">
        <v>1995</v>
      </c>
      <c r="J67" s="2137">
        <v>30381.05</v>
      </c>
      <c r="K67" s="2136" t="s">
        <v>3</v>
      </c>
      <c r="L67" s="2141" t="s">
        <v>3</v>
      </c>
      <c r="M67" s="2138">
        <v>35227.5</v>
      </c>
      <c r="N67" s="2141" t="s">
        <v>3</v>
      </c>
      <c r="O67" s="2142" t="s">
        <v>3</v>
      </c>
      <c r="Q67" s="2106" t="s">
        <v>1995</v>
      </c>
      <c r="R67" s="2253">
        <f t="shared" si="13"/>
        <v>5.0095371950607426E-2</v>
      </c>
      <c r="S67" s="2253"/>
      <c r="T67" s="2253"/>
      <c r="U67" s="2253">
        <f t="shared" si="12"/>
        <v>5.324675324675332E-2</v>
      </c>
      <c r="V67" s="2253"/>
      <c r="W67" s="2253"/>
    </row>
    <row r="68" spans="1:23" ht="15" customHeight="1" thickBot="1">
      <c r="A68" s="2102" t="s">
        <v>1996</v>
      </c>
      <c r="B68" s="2121">
        <f>Комплекты!B68*0.61</f>
        <v>27023</v>
      </c>
      <c r="C68" s="2122" t="s">
        <v>3</v>
      </c>
      <c r="D68" s="2144" t="s">
        <v>3</v>
      </c>
      <c r="E68" s="2122" t="s">
        <v>3</v>
      </c>
      <c r="F68" s="2144" t="s">
        <v>3</v>
      </c>
      <c r="G68" s="2162" t="s">
        <v>3</v>
      </c>
      <c r="H68" s="669"/>
      <c r="I68" s="2102" t="s">
        <v>1996</v>
      </c>
      <c r="J68" s="2121">
        <v>25720.649999999998</v>
      </c>
      <c r="K68" s="2122" t="s">
        <v>3</v>
      </c>
      <c r="L68" s="2144" t="s">
        <v>3</v>
      </c>
      <c r="M68" s="2122" t="s">
        <v>3</v>
      </c>
      <c r="N68" s="2144" t="s">
        <v>3</v>
      </c>
      <c r="O68" s="2162" t="s">
        <v>3</v>
      </c>
      <c r="Q68" s="2102" t="s">
        <v>1996</v>
      </c>
      <c r="R68" s="2253">
        <f t="shared" si="13"/>
        <v>5.0634412427368769E-2</v>
      </c>
      <c r="S68" s="2253"/>
      <c r="T68" s="2253"/>
      <c r="U68" s="2253"/>
      <c r="V68" s="2253"/>
      <c r="W68" s="2253"/>
    </row>
    <row r="69" spans="1:23" ht="15" customHeight="1" thickBot="1">
      <c r="A69" s="2109" t="s">
        <v>1997</v>
      </c>
      <c r="B69" s="2131">
        <f>Комплекты!B69*0.61</f>
        <v>39955</v>
      </c>
      <c r="C69" s="2132" t="s">
        <v>3</v>
      </c>
      <c r="D69" s="2133" t="s">
        <v>3</v>
      </c>
      <c r="E69" s="2132" t="s">
        <v>3</v>
      </c>
      <c r="F69" s="2133" t="s">
        <v>3</v>
      </c>
      <c r="G69" s="2134" t="s">
        <v>3</v>
      </c>
      <c r="H69" s="669"/>
      <c r="I69" s="2109" t="s">
        <v>1997</v>
      </c>
      <c r="J69" s="2131">
        <v>38018.25</v>
      </c>
      <c r="K69" s="2132" t="s">
        <v>3</v>
      </c>
      <c r="L69" s="2133" t="s">
        <v>3</v>
      </c>
      <c r="M69" s="2132" t="s">
        <v>3</v>
      </c>
      <c r="N69" s="2133" t="s">
        <v>3</v>
      </c>
      <c r="O69" s="2134" t="s">
        <v>3</v>
      </c>
      <c r="Q69" s="2109" t="s">
        <v>1997</v>
      </c>
      <c r="R69" s="2253">
        <f t="shared" si="13"/>
        <v>5.0942639390292754E-2</v>
      </c>
      <c r="S69" s="2253"/>
      <c r="T69" s="2253"/>
      <c r="U69" s="2253"/>
      <c r="V69" s="2253"/>
      <c r="W69" s="2253"/>
    </row>
    <row r="70" spans="1:23" ht="15.75" thickBot="1">
      <c r="A70" s="2102" t="s">
        <v>1998</v>
      </c>
      <c r="B70" s="2121">
        <f>Комплекты!B70*0.61</f>
        <v>36600</v>
      </c>
      <c r="C70" s="2122" t="s">
        <v>3</v>
      </c>
      <c r="D70" s="2144" t="s">
        <v>3</v>
      </c>
      <c r="E70" s="2122" t="s">
        <v>3</v>
      </c>
      <c r="F70" s="2144" t="s">
        <v>3</v>
      </c>
      <c r="G70" s="2162" t="s">
        <v>3</v>
      </c>
      <c r="H70" s="669"/>
      <c r="I70" s="2102" t="s">
        <v>1998</v>
      </c>
      <c r="J70" s="2121">
        <v>34846.25</v>
      </c>
      <c r="K70" s="2122" t="s">
        <v>3</v>
      </c>
      <c r="L70" s="2144" t="s">
        <v>3</v>
      </c>
      <c r="M70" s="2122" t="s">
        <v>3</v>
      </c>
      <c r="N70" s="2144" t="s">
        <v>3</v>
      </c>
      <c r="O70" s="2162" t="s">
        <v>3</v>
      </c>
      <c r="Q70" s="2102" t="s">
        <v>1998</v>
      </c>
      <c r="R70" s="2253">
        <f t="shared" si="13"/>
        <v>5.032822757111588E-2</v>
      </c>
      <c r="S70" s="2253"/>
      <c r="T70" s="2253"/>
      <c r="U70" s="2253"/>
      <c r="V70" s="2253"/>
      <c r="W70" s="2253"/>
    </row>
    <row r="71" spans="1:23" ht="15.75" thickBot="1">
      <c r="A71" s="2103" t="s">
        <v>1999</v>
      </c>
      <c r="B71" s="2125">
        <f>Комплекты!B71*0.61</f>
        <v>39955</v>
      </c>
      <c r="C71" s="2126" t="s">
        <v>3</v>
      </c>
      <c r="D71" s="2128" t="s">
        <v>3</v>
      </c>
      <c r="E71" s="2126" t="s">
        <v>3</v>
      </c>
      <c r="F71" s="2128" t="s">
        <v>3</v>
      </c>
      <c r="G71" s="2129" t="s">
        <v>3</v>
      </c>
      <c r="H71" s="669"/>
      <c r="I71" s="2251" t="s">
        <v>1999</v>
      </c>
      <c r="J71" s="2125">
        <v>38018.25</v>
      </c>
      <c r="K71" s="2126" t="s">
        <v>3</v>
      </c>
      <c r="L71" s="2128" t="s">
        <v>3</v>
      </c>
      <c r="M71" s="2126" t="s">
        <v>3</v>
      </c>
      <c r="N71" s="2128" t="s">
        <v>3</v>
      </c>
      <c r="O71" s="2129" t="s">
        <v>3</v>
      </c>
      <c r="Q71" s="2251" t="s">
        <v>1999</v>
      </c>
      <c r="R71" s="2253">
        <f t="shared" si="13"/>
        <v>5.0942639390292754E-2</v>
      </c>
      <c r="S71" s="2253"/>
      <c r="T71" s="2253"/>
      <c r="U71" s="2253"/>
      <c r="V71" s="2253"/>
      <c r="W71" s="2253"/>
    </row>
    <row r="72" spans="1:23" ht="15.75" thickBot="1">
      <c r="A72" s="2108" t="s">
        <v>2000</v>
      </c>
      <c r="B72" s="2125">
        <f>Комплекты!B72*0.61</f>
        <v>43310</v>
      </c>
      <c r="C72" s="2126" t="s">
        <v>3</v>
      </c>
      <c r="D72" s="2128" t="s">
        <v>3</v>
      </c>
      <c r="E72" s="2126" t="s">
        <v>3</v>
      </c>
      <c r="F72" s="2128" t="s">
        <v>3</v>
      </c>
      <c r="G72" s="2129" t="s">
        <v>3</v>
      </c>
      <c r="H72" s="669"/>
      <c r="I72" s="2108" t="s">
        <v>2000</v>
      </c>
      <c r="J72" s="2125">
        <v>41190.25</v>
      </c>
      <c r="K72" s="2126" t="s">
        <v>3</v>
      </c>
      <c r="L72" s="2128" t="s">
        <v>3</v>
      </c>
      <c r="M72" s="2126" t="s">
        <v>3</v>
      </c>
      <c r="N72" s="2128" t="s">
        <v>3</v>
      </c>
      <c r="O72" s="2129" t="s">
        <v>3</v>
      </c>
      <c r="Q72" s="2108" t="s">
        <v>2000</v>
      </c>
      <c r="R72" s="2253">
        <f t="shared" si="13"/>
        <v>5.1462421325435104E-2</v>
      </c>
      <c r="S72" s="2253"/>
      <c r="T72" s="2253"/>
      <c r="U72" s="2253"/>
      <c r="V72" s="2253"/>
      <c r="W72" s="2253"/>
    </row>
    <row r="73" spans="1:23" ht="15.75" thickBot="1">
      <c r="A73" s="2108" t="s">
        <v>1047</v>
      </c>
      <c r="B73" s="2125">
        <f>Комплекты!B73*0.61</f>
        <v>43310</v>
      </c>
      <c r="C73" s="2126" t="s">
        <v>3</v>
      </c>
      <c r="D73" s="2128" t="s">
        <v>3</v>
      </c>
      <c r="E73" s="2126" t="s">
        <v>3</v>
      </c>
      <c r="F73" s="2128" t="s">
        <v>3</v>
      </c>
      <c r="G73" s="2129" t="s">
        <v>3</v>
      </c>
      <c r="H73" s="669"/>
      <c r="I73" s="2108" t="s">
        <v>1047</v>
      </c>
      <c r="J73" s="2125">
        <v>41190.25</v>
      </c>
      <c r="K73" s="2126" t="s">
        <v>3</v>
      </c>
      <c r="L73" s="2128" t="s">
        <v>3</v>
      </c>
      <c r="M73" s="2126" t="s">
        <v>3</v>
      </c>
      <c r="N73" s="2128" t="s">
        <v>3</v>
      </c>
      <c r="O73" s="2129" t="s">
        <v>3</v>
      </c>
      <c r="Q73" s="2108" t="s">
        <v>1047</v>
      </c>
      <c r="R73" s="2253">
        <f t="shared" si="13"/>
        <v>5.1462421325435104E-2</v>
      </c>
      <c r="S73" s="2253"/>
      <c r="T73" s="2253"/>
      <c r="U73" s="2253"/>
      <c r="V73" s="2253"/>
      <c r="W73" s="2253"/>
    </row>
    <row r="74" spans="1:23" ht="15.75" thickBot="1">
      <c r="A74" s="2110" t="s">
        <v>2001</v>
      </c>
      <c r="B74" s="2137">
        <f>Комплекты!B74*0.61</f>
        <v>43310</v>
      </c>
      <c r="C74" s="2136" t="s">
        <v>3</v>
      </c>
      <c r="D74" s="2141" t="s">
        <v>3</v>
      </c>
      <c r="E74" s="2136" t="s">
        <v>3</v>
      </c>
      <c r="F74" s="2141" t="s">
        <v>3</v>
      </c>
      <c r="G74" s="2142" t="s">
        <v>3</v>
      </c>
      <c r="H74" s="669"/>
      <c r="I74" s="2110" t="s">
        <v>2001</v>
      </c>
      <c r="J74" s="2137">
        <v>41190.25</v>
      </c>
      <c r="K74" s="2136" t="s">
        <v>3</v>
      </c>
      <c r="L74" s="2141" t="s">
        <v>3</v>
      </c>
      <c r="M74" s="2136" t="s">
        <v>3</v>
      </c>
      <c r="N74" s="2141" t="s">
        <v>3</v>
      </c>
      <c r="O74" s="2142" t="s">
        <v>3</v>
      </c>
      <c r="Q74" s="2110" t="s">
        <v>2001</v>
      </c>
      <c r="R74" s="2253">
        <f t="shared" si="13"/>
        <v>5.1462421325435104E-2</v>
      </c>
      <c r="S74" s="2253"/>
      <c r="T74" s="2253"/>
      <c r="U74" s="2253"/>
      <c r="V74" s="2253"/>
      <c r="W74" s="2253"/>
    </row>
    <row r="75" spans="1:23" ht="15.75" thickBot="1">
      <c r="A75" s="2102" t="s">
        <v>2002</v>
      </c>
      <c r="B75" s="2144" t="s">
        <v>3</v>
      </c>
      <c r="C75" s="2122" t="s">
        <v>3</v>
      </c>
      <c r="D75" s="2121">
        <f>Комплекты!D75*0.61</f>
        <v>30429.85</v>
      </c>
      <c r="E75" s="2120">
        <f>Комплекты!E75*0.61</f>
        <v>32680.75</v>
      </c>
      <c r="F75" s="2144"/>
      <c r="G75" s="2123">
        <f>Комплекты!G75*0.61</f>
        <v>35288.5</v>
      </c>
      <c r="H75" s="669"/>
      <c r="I75" s="2102" t="s">
        <v>2002</v>
      </c>
      <c r="J75" s="2144" t="s">
        <v>3</v>
      </c>
      <c r="K75" s="2122" t="s">
        <v>3</v>
      </c>
      <c r="L75" s="2121">
        <v>28968.899999999998</v>
      </c>
      <c r="M75" s="2120">
        <v>30994.1</v>
      </c>
      <c r="N75" s="2144"/>
      <c r="O75" s="2123">
        <v>33662.85</v>
      </c>
      <c r="Q75" s="2102" t="s">
        <v>2002</v>
      </c>
      <c r="R75" s="2253"/>
      <c r="S75" s="2253"/>
      <c r="T75" s="2253">
        <f t="shared" ref="T75:T83" si="14">D75/L75-1</f>
        <v>5.0431669825226288E-2</v>
      </c>
      <c r="U75" s="2253">
        <f t="shared" ref="U75:U83" si="15">E75/M75-1</f>
        <v>5.4418421570556985E-2</v>
      </c>
      <c r="V75" s="2253"/>
      <c r="W75" s="2253">
        <f t="shared" ref="W75:W83" si="16">G75/O75-1</f>
        <v>4.8292108362779862E-2</v>
      </c>
    </row>
    <row r="76" spans="1:23" ht="15.75" thickBot="1">
      <c r="A76" s="2103" t="s">
        <v>2003</v>
      </c>
      <c r="B76" s="2128" t="s">
        <v>3</v>
      </c>
      <c r="C76" s="2126" t="s">
        <v>3</v>
      </c>
      <c r="D76" s="2125">
        <f>Комплекты!D76*0.61</f>
        <v>30429.85</v>
      </c>
      <c r="E76" s="2124">
        <f>Комплекты!E76*0.61</f>
        <v>32680.75</v>
      </c>
      <c r="F76" s="2128"/>
      <c r="G76" s="2127">
        <f>Комплекты!G76*0.61</f>
        <v>35288.5</v>
      </c>
      <c r="H76" s="669"/>
      <c r="I76" s="2251" t="s">
        <v>2003</v>
      </c>
      <c r="J76" s="2128" t="s">
        <v>3</v>
      </c>
      <c r="K76" s="2126" t="s">
        <v>3</v>
      </c>
      <c r="L76" s="2125">
        <v>31530.899999999998</v>
      </c>
      <c r="M76" s="2124">
        <v>33556.1</v>
      </c>
      <c r="N76" s="2128"/>
      <c r="O76" s="2127">
        <v>36224.85</v>
      </c>
      <c r="Q76" s="2251" t="s">
        <v>2003</v>
      </c>
      <c r="R76" s="2253"/>
      <c r="S76" s="2253"/>
      <c r="T76" s="2253">
        <f t="shared" si="14"/>
        <v>-3.4919713677693975E-2</v>
      </c>
      <c r="U76" s="2253">
        <f t="shared" si="15"/>
        <v>-2.6086166151608747E-2</v>
      </c>
      <c r="V76" s="2253"/>
      <c r="W76" s="2253">
        <f t="shared" si="16"/>
        <v>-2.5848278184726792E-2</v>
      </c>
    </row>
    <row r="77" spans="1:23" ht="15.75" thickBot="1">
      <c r="A77" s="2103" t="s">
        <v>1050</v>
      </c>
      <c r="B77" s="2128" t="s">
        <v>3</v>
      </c>
      <c r="C77" s="2126" t="s">
        <v>3</v>
      </c>
      <c r="D77" s="2125">
        <f>Комплекты!D77*0.61</f>
        <v>33906.85</v>
      </c>
      <c r="E77" s="2124">
        <f>Комплекты!E77*0.61</f>
        <v>36157.75</v>
      </c>
      <c r="F77" s="2128"/>
      <c r="G77" s="2127">
        <f>Комплекты!G77*0.61</f>
        <v>38765.5</v>
      </c>
      <c r="H77" s="669"/>
      <c r="I77" s="2251" t="s">
        <v>1050</v>
      </c>
      <c r="J77" s="2128" t="s">
        <v>3</v>
      </c>
      <c r="K77" s="2126" t="s">
        <v>3</v>
      </c>
      <c r="L77" s="2125">
        <v>32275.1</v>
      </c>
      <c r="M77" s="2124">
        <v>34300.299999999996</v>
      </c>
      <c r="N77" s="2128"/>
      <c r="O77" s="2127">
        <v>36969.049999999996</v>
      </c>
      <c r="Q77" s="2251" t="s">
        <v>1050</v>
      </c>
      <c r="R77" s="2253"/>
      <c r="S77" s="2253"/>
      <c r="T77" s="2253">
        <f t="shared" si="14"/>
        <v>5.0557550557550623E-2</v>
      </c>
      <c r="U77" s="2253">
        <f t="shared" si="15"/>
        <v>5.415258758669772E-2</v>
      </c>
      <c r="V77" s="2253"/>
      <c r="W77" s="2253">
        <f t="shared" si="16"/>
        <v>4.8593350383631773E-2</v>
      </c>
    </row>
    <row r="78" spans="1:23" ht="15.75" thickBot="1">
      <c r="A78" s="2103" t="s">
        <v>2004</v>
      </c>
      <c r="B78" s="2128" t="s">
        <v>3</v>
      </c>
      <c r="C78" s="2126" t="s">
        <v>3</v>
      </c>
      <c r="D78" s="2125">
        <f>Комплекты!D78*0.61</f>
        <v>37261.85</v>
      </c>
      <c r="E78" s="2124">
        <f>Комплекты!E78*0.61</f>
        <v>39512.75</v>
      </c>
      <c r="F78" s="2128"/>
      <c r="G78" s="2127">
        <f>Комплекты!G78*0.61</f>
        <v>42120.5</v>
      </c>
      <c r="H78" s="669"/>
      <c r="I78" s="2251" t="s">
        <v>2004</v>
      </c>
      <c r="J78" s="2128" t="s">
        <v>3</v>
      </c>
      <c r="K78" s="2126" t="s">
        <v>3</v>
      </c>
      <c r="L78" s="2125">
        <v>35447.1</v>
      </c>
      <c r="M78" s="2124">
        <v>37472.299999999996</v>
      </c>
      <c r="N78" s="2128"/>
      <c r="O78" s="2127">
        <v>40141.049999999996</v>
      </c>
      <c r="Q78" s="2251" t="s">
        <v>2004</v>
      </c>
      <c r="R78" s="2253"/>
      <c r="S78" s="2253"/>
      <c r="T78" s="2253">
        <f t="shared" si="14"/>
        <v>5.1196007571846502E-2</v>
      </c>
      <c r="U78" s="2253">
        <f t="shared" si="15"/>
        <v>5.445222204134792E-2</v>
      </c>
      <c r="V78" s="2253"/>
      <c r="W78" s="2253">
        <f t="shared" si="16"/>
        <v>4.9312362282501354E-2</v>
      </c>
    </row>
    <row r="79" spans="1:23" ht="15.75" thickBot="1">
      <c r="A79" s="2103" t="s">
        <v>1051</v>
      </c>
      <c r="B79" s="2128" t="s">
        <v>3</v>
      </c>
      <c r="C79" s="2126" t="s">
        <v>3</v>
      </c>
      <c r="D79" s="2125">
        <f>Комплекты!D79*0.61</f>
        <v>33906.85</v>
      </c>
      <c r="E79" s="2124">
        <f>Комплекты!E79*0.61</f>
        <v>36157.75</v>
      </c>
      <c r="F79" s="2128"/>
      <c r="G79" s="2127">
        <f>Комплекты!G79*0.61</f>
        <v>38765.5</v>
      </c>
      <c r="H79" s="669"/>
      <c r="I79" s="2251" t="s">
        <v>1051</v>
      </c>
      <c r="J79" s="2128" t="s">
        <v>3</v>
      </c>
      <c r="K79" s="2126" t="s">
        <v>3</v>
      </c>
      <c r="L79" s="2125">
        <v>32275.1</v>
      </c>
      <c r="M79" s="2124">
        <v>34300.299999999996</v>
      </c>
      <c r="N79" s="2128"/>
      <c r="O79" s="2127">
        <v>36969.049999999996</v>
      </c>
      <c r="Q79" s="2251" t="s">
        <v>1051</v>
      </c>
      <c r="R79" s="2253"/>
      <c r="S79" s="2253"/>
      <c r="T79" s="2253">
        <f t="shared" si="14"/>
        <v>5.0557550557550623E-2</v>
      </c>
      <c r="U79" s="2253">
        <f t="shared" si="15"/>
        <v>5.415258758669772E-2</v>
      </c>
      <c r="V79" s="2253"/>
      <c r="W79" s="2253">
        <f t="shared" si="16"/>
        <v>4.8593350383631773E-2</v>
      </c>
    </row>
    <row r="80" spans="1:23" ht="15.75" thickBot="1">
      <c r="A80" s="2106" t="s">
        <v>2005</v>
      </c>
      <c r="B80" s="2141" t="s">
        <v>3</v>
      </c>
      <c r="C80" s="2136" t="s">
        <v>3</v>
      </c>
      <c r="D80" s="2137">
        <f>Комплекты!D80*0.61</f>
        <v>37261.85</v>
      </c>
      <c r="E80" s="2138">
        <f>Комплекты!E80*0.61</f>
        <v>41434.25</v>
      </c>
      <c r="F80" s="2141"/>
      <c r="G80" s="2139">
        <f>Комплекты!G80*0.61</f>
        <v>42120.5</v>
      </c>
      <c r="H80" s="669"/>
      <c r="I80" s="2106" t="s">
        <v>2005</v>
      </c>
      <c r="J80" s="2141" t="s">
        <v>3</v>
      </c>
      <c r="K80" s="2136" t="s">
        <v>3</v>
      </c>
      <c r="L80" s="2137">
        <v>35447.1</v>
      </c>
      <c r="M80" s="2138">
        <v>39302.299999999996</v>
      </c>
      <c r="N80" s="2141"/>
      <c r="O80" s="2139">
        <v>40141.049999999996</v>
      </c>
      <c r="Q80" s="2106" t="s">
        <v>2005</v>
      </c>
      <c r="R80" s="2253"/>
      <c r="S80" s="2253"/>
      <c r="T80" s="2253">
        <f t="shared" si="14"/>
        <v>5.1196007571846502E-2</v>
      </c>
      <c r="U80" s="2253">
        <f t="shared" si="15"/>
        <v>5.4244916964147238E-2</v>
      </c>
      <c r="V80" s="2253"/>
      <c r="W80" s="2253">
        <f t="shared" si="16"/>
        <v>4.9312362282501354E-2</v>
      </c>
    </row>
    <row r="81" spans="1:23" ht="15.75" thickBot="1">
      <c r="A81" s="2111" t="s">
        <v>2006</v>
      </c>
      <c r="B81" s="2144" t="s">
        <v>3</v>
      </c>
      <c r="C81" s="2122" t="s">
        <v>3</v>
      </c>
      <c r="D81" s="2121">
        <f>Комплекты!D81*0.61</f>
        <v>28599.85</v>
      </c>
      <c r="E81" s="2120">
        <f>Комплекты!E81*0.61</f>
        <v>30850.75</v>
      </c>
      <c r="F81" s="2144"/>
      <c r="G81" s="2123">
        <f>Комплекты!G81*0.61</f>
        <v>33458.5</v>
      </c>
      <c r="H81" s="669"/>
      <c r="I81" s="2111" t="s">
        <v>2006</v>
      </c>
      <c r="J81" s="2144" t="s">
        <v>3</v>
      </c>
      <c r="K81" s="2122" t="s">
        <v>3</v>
      </c>
      <c r="L81" s="2121">
        <v>27248.7</v>
      </c>
      <c r="M81" s="2120">
        <v>29273.899999999998</v>
      </c>
      <c r="N81" s="2144"/>
      <c r="O81" s="2123">
        <v>31942.649999999998</v>
      </c>
      <c r="Q81" s="2111" t="s">
        <v>2006</v>
      </c>
      <c r="R81" s="2253"/>
      <c r="S81" s="2253"/>
      <c r="T81" s="2253">
        <f t="shared" si="14"/>
        <v>4.9585851802104175E-2</v>
      </c>
      <c r="U81" s="2253">
        <f t="shared" si="15"/>
        <v>5.3865388622629684E-2</v>
      </c>
      <c r="V81" s="2253"/>
      <c r="W81" s="2253">
        <f t="shared" si="16"/>
        <v>4.7455361405519092E-2</v>
      </c>
    </row>
    <row r="82" spans="1:23" ht="15.75" thickBot="1">
      <c r="A82" s="2112" t="s">
        <v>2007</v>
      </c>
      <c r="B82" s="2128" t="s">
        <v>3</v>
      </c>
      <c r="C82" s="2126" t="s">
        <v>3</v>
      </c>
      <c r="D82" s="2125">
        <f>Комплекты!D82*0.61</f>
        <v>29087.85</v>
      </c>
      <c r="E82" s="2124">
        <f>Комплекты!E82*0.61</f>
        <v>31338.75</v>
      </c>
      <c r="F82" s="2128"/>
      <c r="G82" s="2127">
        <f>Комплекты!G82*0.61</f>
        <v>33946.5</v>
      </c>
      <c r="H82" s="669"/>
      <c r="I82" s="2252" t="s">
        <v>2007</v>
      </c>
      <c r="J82" s="2128" t="s">
        <v>3</v>
      </c>
      <c r="K82" s="2126" t="s">
        <v>3</v>
      </c>
      <c r="L82" s="2125">
        <v>27700.1</v>
      </c>
      <c r="M82" s="2124">
        <v>29725.3</v>
      </c>
      <c r="N82" s="2128"/>
      <c r="O82" s="2127">
        <v>32394.05</v>
      </c>
      <c r="Q82" s="2252" t="s">
        <v>2007</v>
      </c>
      <c r="R82" s="2253"/>
      <c r="S82" s="2253"/>
      <c r="T82" s="2253">
        <f t="shared" si="14"/>
        <v>5.0099097115172908E-2</v>
      </c>
      <c r="U82" s="2253">
        <f t="shared" si="15"/>
        <v>5.4278678432177374E-2</v>
      </c>
      <c r="V82" s="2253"/>
      <c r="W82" s="2253">
        <f t="shared" si="16"/>
        <v>4.7923924300913301E-2</v>
      </c>
    </row>
    <row r="83" spans="1:23" ht="15.75" thickBot="1">
      <c r="A83" s="2113" t="s">
        <v>681</v>
      </c>
      <c r="B83" s="2141" t="s">
        <v>3</v>
      </c>
      <c r="C83" s="2136" t="s">
        <v>3</v>
      </c>
      <c r="D83" s="2137">
        <f>Комплекты!D83*0.61</f>
        <v>32009.75</v>
      </c>
      <c r="E83" s="2138">
        <f>Комплекты!E83*0.61</f>
        <v>31826.75</v>
      </c>
      <c r="F83" s="2141"/>
      <c r="G83" s="2139">
        <f>Комплекты!G83*0.61</f>
        <v>34434.5</v>
      </c>
      <c r="H83" s="669"/>
      <c r="I83" s="2113" t="s">
        <v>681</v>
      </c>
      <c r="J83" s="2141" t="s">
        <v>3</v>
      </c>
      <c r="K83" s="2136" t="s">
        <v>3</v>
      </c>
      <c r="L83" s="2137">
        <v>30493.899999999998</v>
      </c>
      <c r="M83" s="2138">
        <v>30176.7</v>
      </c>
      <c r="N83" s="2141"/>
      <c r="O83" s="2139">
        <v>32845.449999999997</v>
      </c>
      <c r="Q83" s="2113" t="s">
        <v>681</v>
      </c>
      <c r="R83" s="2253"/>
      <c r="S83" s="2253"/>
      <c r="T83" s="2253">
        <f t="shared" si="14"/>
        <v>4.9709941988397732E-2</v>
      </c>
      <c r="U83" s="2253">
        <f t="shared" si="15"/>
        <v>5.4679603800283028E-2</v>
      </c>
      <c r="V83" s="2253"/>
      <c r="W83" s="2253">
        <f t="shared" si="16"/>
        <v>4.8379608134460073E-2</v>
      </c>
    </row>
    <row r="84" spans="1:23" ht="15.75" thickBot="1">
      <c r="A84" s="2114" t="s">
        <v>2017</v>
      </c>
      <c r="B84" s="2137">
        <f>Комплекты!B84*0.61</f>
        <v>28334.5</v>
      </c>
      <c r="C84" s="2152" t="s">
        <v>3</v>
      </c>
      <c r="D84" s="2163" t="s">
        <v>3</v>
      </c>
      <c r="E84" s="2152" t="s">
        <v>3</v>
      </c>
      <c r="F84" s="2163" t="s">
        <v>3</v>
      </c>
      <c r="G84" s="2164" t="s">
        <v>3</v>
      </c>
      <c r="H84" s="669"/>
      <c r="I84" s="2114" t="s">
        <v>2017</v>
      </c>
      <c r="J84" s="2137">
        <v>26989.45</v>
      </c>
      <c r="K84" s="2152" t="s">
        <v>3</v>
      </c>
      <c r="L84" s="2163" t="s">
        <v>3</v>
      </c>
      <c r="M84" s="2152" t="s">
        <v>3</v>
      </c>
      <c r="N84" s="2163" t="s">
        <v>3</v>
      </c>
      <c r="O84" s="2164" t="s">
        <v>3</v>
      </c>
      <c r="Q84" s="2114" t="s">
        <v>2017</v>
      </c>
      <c r="R84" s="2253">
        <f>B84/J84-1</f>
        <v>4.9836139676799673E-2</v>
      </c>
      <c r="S84" s="2253"/>
      <c r="T84" s="2253"/>
      <c r="U84" s="2253"/>
      <c r="V84" s="2253"/>
      <c r="W84" s="2253"/>
    </row>
    <row r="85" spans="1:23">
      <c r="A85" s="669"/>
      <c r="B85" s="2118"/>
      <c r="C85" s="2118"/>
      <c r="D85" s="2118"/>
      <c r="E85" s="2118"/>
      <c r="F85" s="2118"/>
      <c r="G85" s="2118"/>
      <c r="H85" s="669"/>
      <c r="I85" s="669"/>
      <c r="J85" s="2118"/>
      <c r="K85" s="2118"/>
      <c r="L85" s="2118"/>
      <c r="M85" s="2118"/>
      <c r="N85" s="2118"/>
      <c r="O85" s="2118"/>
      <c r="Q85" s="669"/>
      <c r="R85" s="2118"/>
      <c r="S85" s="2118"/>
      <c r="T85" s="2118"/>
      <c r="U85" s="2118"/>
      <c r="V85" s="2118"/>
      <c r="W85" s="2118"/>
    </row>
    <row r="86" spans="1:23">
      <c r="A86" s="669"/>
      <c r="B86" s="2118"/>
      <c r="C86" s="2118"/>
      <c r="D86" s="2118"/>
      <c r="E86" s="2118"/>
      <c r="F86" s="2118"/>
      <c r="G86" s="2118"/>
      <c r="H86" s="669"/>
      <c r="I86" s="669"/>
      <c r="J86" s="2118"/>
      <c r="K86" s="2118"/>
      <c r="L86" s="2118"/>
      <c r="M86" s="2118"/>
      <c r="N86" s="2118"/>
      <c r="O86" s="2118"/>
      <c r="Q86" s="669"/>
      <c r="R86" s="2118"/>
      <c r="S86" s="2118"/>
      <c r="T86" s="2118"/>
      <c r="U86" s="2118"/>
      <c r="V86" s="2118"/>
      <c r="W86" s="2118"/>
    </row>
    <row r="87" spans="1:23">
      <c r="A87" s="669"/>
      <c r="B87" s="2118"/>
      <c r="C87" s="2118"/>
      <c r="D87" s="2118"/>
      <c r="E87" s="2118"/>
      <c r="F87" s="2118"/>
      <c r="G87" s="2118"/>
      <c r="H87" s="669"/>
      <c r="I87" s="669"/>
      <c r="J87" s="2118"/>
      <c r="K87" s="2118"/>
      <c r="L87" s="2118"/>
      <c r="M87" s="2118"/>
      <c r="N87" s="2118"/>
      <c r="O87" s="2118"/>
      <c r="Q87" s="669"/>
      <c r="R87" s="2118"/>
      <c r="S87" s="2118"/>
      <c r="T87" s="2118"/>
      <c r="U87" s="2118"/>
      <c r="V87" s="2118"/>
      <c r="W87" s="2118"/>
    </row>
    <row r="88" spans="1:23">
      <c r="A88" s="669"/>
      <c r="B88" s="2118"/>
      <c r="C88" s="2118"/>
      <c r="D88" s="2118"/>
      <c r="E88" s="2118"/>
      <c r="F88" s="2118"/>
      <c r="G88" s="2118"/>
      <c r="H88" s="669"/>
      <c r="I88" s="669"/>
      <c r="J88" s="2118"/>
      <c r="K88" s="2118"/>
      <c r="L88" s="2118"/>
      <c r="M88" s="2118"/>
      <c r="N88" s="2118"/>
      <c r="O88" s="2118"/>
      <c r="Q88" s="669"/>
      <c r="R88" s="2118"/>
      <c r="S88" s="2118"/>
      <c r="T88" s="2118"/>
      <c r="U88" s="2118"/>
      <c r="V88" s="2118"/>
      <c r="W88" s="2118"/>
    </row>
    <row r="89" spans="1:23">
      <c r="A89" s="669"/>
      <c r="B89" s="2118"/>
      <c r="C89" s="2118"/>
      <c r="D89" s="2118"/>
      <c r="E89" s="2118"/>
      <c r="F89" s="2118"/>
      <c r="G89" s="2118"/>
      <c r="H89" s="669"/>
      <c r="I89" s="669"/>
      <c r="J89" s="2118"/>
      <c r="K89" s="2118"/>
      <c r="L89" s="2118"/>
      <c r="M89" s="2118"/>
      <c r="N89" s="2118"/>
      <c r="O89" s="2118"/>
      <c r="Q89" s="669"/>
      <c r="R89" s="2118"/>
      <c r="S89" s="2118"/>
      <c r="T89" s="2118"/>
      <c r="U89" s="2118"/>
      <c r="V89" s="2118"/>
      <c r="W89" s="2118"/>
    </row>
    <row r="90" spans="1:23">
      <c r="A90" s="669"/>
      <c r="B90" s="2118"/>
      <c r="C90" s="2118"/>
      <c r="D90" s="2118"/>
      <c r="E90" s="2118"/>
      <c r="F90" s="2118"/>
      <c r="G90" s="2118"/>
      <c r="H90" s="669"/>
      <c r="I90" s="669"/>
      <c r="J90" s="2118"/>
      <c r="K90" s="2118"/>
      <c r="L90" s="2118"/>
      <c r="M90" s="2118"/>
      <c r="N90" s="2118"/>
      <c r="O90" s="2118"/>
      <c r="Q90" s="669"/>
      <c r="R90" s="2118"/>
      <c r="S90" s="2118"/>
      <c r="T90" s="2118"/>
      <c r="U90" s="2118"/>
      <c r="V90" s="2118"/>
      <c r="W90" s="2118"/>
    </row>
    <row r="91" spans="1:23">
      <c r="A91" s="669"/>
      <c r="B91" s="2118"/>
      <c r="C91" s="2118"/>
      <c r="D91" s="2118"/>
      <c r="E91" s="2118"/>
      <c r="F91" s="2118"/>
      <c r="G91" s="2118"/>
      <c r="H91" s="669"/>
      <c r="I91" s="669"/>
      <c r="J91" s="2118"/>
      <c r="K91" s="2118"/>
      <c r="L91" s="2118"/>
      <c r="M91" s="2118"/>
      <c r="N91" s="2118"/>
      <c r="O91" s="2118"/>
      <c r="Q91" s="669"/>
      <c r="R91" s="2118"/>
      <c r="S91" s="2118"/>
      <c r="T91" s="2118"/>
      <c r="U91" s="2118"/>
      <c r="V91" s="2118"/>
      <c r="W91" s="2118"/>
    </row>
  </sheetData>
  <sheetProtection password="E910" sheet="1" objects="1" scenarios="1"/>
  <mergeCells count="15">
    <mergeCell ref="A3:G3"/>
    <mergeCell ref="I3:O3"/>
    <mergeCell ref="Q3:W3"/>
    <mergeCell ref="A5:A7"/>
    <mergeCell ref="B5:G5"/>
    <mergeCell ref="I5:I7"/>
    <mergeCell ref="J5:O5"/>
    <mergeCell ref="Q5:Q7"/>
    <mergeCell ref="R5:W5"/>
    <mergeCell ref="B6:C6"/>
    <mergeCell ref="D6:G6"/>
    <mergeCell ref="J6:K6"/>
    <mergeCell ref="L6:O6"/>
    <mergeCell ref="R6:S6"/>
    <mergeCell ref="T6:W6"/>
  </mergeCells>
  <hyperlinks>
    <hyperlink ref="A1" location="Содержание!A1" display="Вернуться в содержание"/>
    <hyperlink ref="I1" location="Содержание!A1" display="Вернуться в содержание"/>
    <hyperlink ref="Q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AD91"/>
  <sheetViews>
    <sheetView view="pageBreakPreview" zoomScale="115" zoomScaleNormal="100" zoomScaleSheetLayoutView="115" workbookViewId="0">
      <selection activeCell="AJ8" sqref="AJ8"/>
    </sheetView>
  </sheetViews>
  <sheetFormatPr defaultRowHeight="15" outlineLevelCol="1"/>
  <cols>
    <col min="1" max="1" width="20.140625" customWidth="1"/>
    <col min="2" max="7" width="9.140625" style="2119" customWidth="1"/>
    <col min="8" max="8" width="7.5703125" customWidth="1"/>
    <col min="9" max="9" width="20.140625" style="471" hidden="1" customWidth="1" outlineLevel="1"/>
    <col min="10" max="15" width="9.140625" style="2119" hidden="1" customWidth="1" outlineLevel="1"/>
    <col min="16" max="16" width="0" hidden="1" customWidth="1" outlineLevel="1"/>
    <col min="17" max="17" width="20.140625" style="471" hidden="1" customWidth="1" outlineLevel="1"/>
    <col min="18" max="23" width="9.140625" style="2119" hidden="1" customWidth="1" outlineLevel="1"/>
    <col min="24" max="24" width="8.85546875" collapsed="1"/>
  </cols>
  <sheetData>
    <row r="1" spans="1:30" s="11" customFormat="1" ht="18" customHeight="1">
      <c r="A1" s="2165" t="s">
        <v>307</v>
      </c>
      <c r="B1" s="2115"/>
      <c r="C1" s="2115"/>
      <c r="D1" s="2115"/>
      <c r="E1" s="2115"/>
      <c r="F1" s="24"/>
      <c r="G1" s="24"/>
      <c r="H1" s="24"/>
      <c r="I1" s="2165" t="s">
        <v>2064</v>
      </c>
      <c r="J1" s="2115"/>
      <c r="K1" s="2115"/>
      <c r="L1" s="2115"/>
      <c r="M1" s="2115"/>
      <c r="N1" s="24"/>
      <c r="O1" s="24"/>
      <c r="P1" s="319"/>
      <c r="Q1" s="2165" t="s">
        <v>2065</v>
      </c>
      <c r="R1" s="2115"/>
      <c r="S1" s="2115"/>
      <c r="T1" s="2115"/>
      <c r="U1" s="2115"/>
      <c r="V1" s="24"/>
      <c r="W1" s="24"/>
      <c r="X1" s="319"/>
      <c r="Y1" s="319"/>
      <c r="Z1" s="319"/>
      <c r="AA1" s="319"/>
      <c r="AB1" s="319"/>
    </row>
    <row r="2" spans="1:30" s="471" customFormat="1" ht="18" customHeight="1">
      <c r="A2" s="5"/>
      <c r="B2" s="2116"/>
      <c r="C2" s="2116"/>
      <c r="D2" s="2116"/>
      <c r="E2" s="2116"/>
      <c r="F2" s="2117"/>
      <c r="G2" s="2117"/>
      <c r="H2" s="13"/>
      <c r="I2" s="5"/>
      <c r="J2" s="2116"/>
      <c r="K2" s="2116"/>
      <c r="L2" s="2116"/>
      <c r="M2" s="2116"/>
      <c r="N2" s="2117"/>
      <c r="O2" s="2117"/>
      <c r="P2" s="211"/>
      <c r="Q2" s="5"/>
      <c r="R2" s="2116"/>
      <c r="S2" s="2116"/>
      <c r="T2" s="2116"/>
      <c r="U2" s="2116"/>
      <c r="V2" s="2117"/>
      <c r="W2" s="2117"/>
      <c r="X2" s="211"/>
      <c r="Y2" s="211"/>
      <c r="Z2" s="211"/>
      <c r="AA2" s="211"/>
      <c r="AB2" s="211"/>
      <c r="AC2" s="211"/>
      <c r="AD2" s="211"/>
    </row>
    <row r="3" spans="1:30" s="471" customFormat="1" ht="68.25" customHeight="1">
      <c r="A3" s="2856" t="s">
        <v>2030</v>
      </c>
      <c r="B3" s="2857"/>
      <c r="C3" s="2857"/>
      <c r="D3" s="2857"/>
      <c r="E3" s="2857"/>
      <c r="F3" s="2857"/>
      <c r="G3" s="2858"/>
      <c r="H3" s="211"/>
      <c r="I3" s="2859" t="s">
        <v>2030</v>
      </c>
      <c r="J3" s="2857"/>
      <c r="K3" s="2857"/>
      <c r="L3" s="2857"/>
      <c r="M3" s="2857"/>
      <c r="N3" s="2857"/>
      <c r="O3" s="2860"/>
      <c r="P3" s="211"/>
      <c r="Q3" s="2859" t="s">
        <v>2030</v>
      </c>
      <c r="R3" s="2857"/>
      <c r="S3" s="2857"/>
      <c r="T3" s="2857"/>
      <c r="U3" s="2857"/>
      <c r="V3" s="2857"/>
      <c r="W3" s="2860"/>
      <c r="X3" s="211"/>
      <c r="Y3" s="211"/>
      <c r="Z3" s="211"/>
      <c r="AA3" s="211"/>
      <c r="AB3" s="211"/>
      <c r="AC3" s="211"/>
      <c r="AD3" s="211"/>
    </row>
    <row r="5" spans="1:30">
      <c r="A5" s="2861" t="s">
        <v>1977</v>
      </c>
      <c r="B5" s="2864"/>
      <c r="C5" s="2864"/>
      <c r="D5" s="2864"/>
      <c r="E5" s="2864"/>
      <c r="F5" s="2864"/>
      <c r="G5" s="2865"/>
      <c r="H5" s="2076"/>
      <c r="I5" s="2861" t="s">
        <v>1977</v>
      </c>
      <c r="J5" s="2864"/>
      <c r="K5" s="2864"/>
      <c r="L5" s="2864"/>
      <c r="M5" s="2864"/>
      <c r="N5" s="2864"/>
      <c r="O5" s="2866"/>
      <c r="Q5" s="2861" t="s">
        <v>1977</v>
      </c>
      <c r="R5" s="2864"/>
      <c r="S5" s="2864"/>
      <c r="T5" s="2864"/>
      <c r="U5" s="2864"/>
      <c r="V5" s="2864"/>
      <c r="W5" s="2866"/>
    </row>
    <row r="6" spans="1:30">
      <c r="A6" s="2862"/>
      <c r="B6" s="2873" t="s">
        <v>160</v>
      </c>
      <c r="C6" s="2874"/>
      <c r="D6" s="2869" t="s">
        <v>529</v>
      </c>
      <c r="E6" s="2869"/>
      <c r="F6" s="2869"/>
      <c r="G6" s="2869"/>
      <c r="H6" s="2076"/>
      <c r="I6" s="2862"/>
      <c r="J6" s="2873" t="s">
        <v>160</v>
      </c>
      <c r="K6" s="2874"/>
      <c r="L6" s="2869" t="s">
        <v>529</v>
      </c>
      <c r="M6" s="2869"/>
      <c r="N6" s="2869"/>
      <c r="O6" s="2869"/>
      <c r="Q6" s="2862"/>
      <c r="R6" s="2485" t="s">
        <v>160</v>
      </c>
      <c r="S6" s="2486"/>
      <c r="T6" s="2869" t="s">
        <v>529</v>
      </c>
      <c r="U6" s="2869"/>
      <c r="V6" s="2869"/>
      <c r="W6" s="2869"/>
    </row>
    <row r="7" spans="1:30" s="471" customFormat="1" ht="15.75" thickBot="1">
      <c r="A7" s="2863"/>
      <c r="B7" s="2094" t="s">
        <v>207</v>
      </c>
      <c r="C7" s="2093" t="s">
        <v>1978</v>
      </c>
      <c r="D7" s="2094" t="s">
        <v>1281</v>
      </c>
      <c r="E7" s="2093" t="s">
        <v>1287</v>
      </c>
      <c r="F7" s="2094" t="s">
        <v>1806</v>
      </c>
      <c r="G7" s="2093" t="s">
        <v>1293</v>
      </c>
      <c r="H7" s="2076"/>
      <c r="I7" s="2863"/>
      <c r="J7" s="2094" t="s">
        <v>207</v>
      </c>
      <c r="K7" s="2093" t="s">
        <v>1978</v>
      </c>
      <c r="L7" s="2094" t="s">
        <v>1281</v>
      </c>
      <c r="M7" s="2093" t="s">
        <v>1287</v>
      </c>
      <c r="N7" s="2094" t="s">
        <v>1806</v>
      </c>
      <c r="O7" s="2093" t="s">
        <v>1293</v>
      </c>
      <c r="Q7" s="2863"/>
      <c r="R7" s="2094" t="s">
        <v>207</v>
      </c>
      <c r="S7" s="2093" t="s">
        <v>1978</v>
      </c>
      <c r="T7" s="2094" t="s">
        <v>1281</v>
      </c>
      <c r="U7" s="2093" t="s">
        <v>1287</v>
      </c>
      <c r="V7" s="2094" t="s">
        <v>1806</v>
      </c>
      <c r="W7" s="2093" t="s">
        <v>1293</v>
      </c>
    </row>
    <row r="8" spans="1:30" ht="15.75" thickBot="1">
      <c r="A8" s="2095" t="s">
        <v>2018</v>
      </c>
      <c r="B8" s="2121">
        <f>Techno_Porte!G8+2.5*Погонаж!C11+5*Погонаж!E11</f>
        <v>32550</v>
      </c>
      <c r="C8" s="2122" t="s">
        <v>3</v>
      </c>
      <c r="D8" s="2121">
        <f>Techno_Porte!G9+2.5*Погонаж!C12+5*Погонаж!E12</f>
        <v>35445</v>
      </c>
      <c r="E8" s="2120">
        <f>Techno_Porte!G10+2.5*Погонаж!C13+5*Погонаж!E13</f>
        <v>38275</v>
      </c>
      <c r="F8" s="2121">
        <f>Techno_Porte!G11+2.5*Погонаж!C14+5*Погонаж!E14</f>
        <v>39795</v>
      </c>
      <c r="G8" s="2123">
        <f>Techno_Porte!G12+2.5*Погонаж!C15+5*Погонаж!E15</f>
        <v>41440</v>
      </c>
      <c r="H8" s="2076"/>
      <c r="I8" s="2095" t="s">
        <v>2018</v>
      </c>
      <c r="J8" s="2121">
        <v>30985</v>
      </c>
      <c r="K8" s="2122" t="s">
        <v>3</v>
      </c>
      <c r="L8" s="2121">
        <v>33820</v>
      </c>
      <c r="M8" s="2120">
        <v>36320</v>
      </c>
      <c r="N8" s="2121">
        <v>38050</v>
      </c>
      <c r="O8" s="2123">
        <v>39645</v>
      </c>
      <c r="Q8" s="2095" t="s">
        <v>2018</v>
      </c>
      <c r="R8" s="2253">
        <f>B8/J8-1</f>
        <v>5.0508310472809459E-2</v>
      </c>
      <c r="S8" s="2253"/>
      <c r="T8" s="2253">
        <f t="shared" ref="T8:W9" si="0">D8/L8-1</f>
        <v>4.8048492016558253E-2</v>
      </c>
      <c r="U8" s="2253">
        <f t="shared" si="0"/>
        <v>5.3827092511013142E-2</v>
      </c>
      <c r="V8" s="2253">
        <f t="shared" si="0"/>
        <v>4.5860709592641324E-2</v>
      </c>
      <c r="W8" s="2253">
        <f t="shared" si="0"/>
        <v>4.5276831882961277E-2</v>
      </c>
    </row>
    <row r="9" spans="1:30" ht="15.75" thickBot="1">
      <c r="A9" s="2096" t="s">
        <v>2019</v>
      </c>
      <c r="B9" s="2125">
        <f>Techno_Porte!H8+Алюм.погонаж!E6</f>
        <v>46550</v>
      </c>
      <c r="C9" s="2126" t="s">
        <v>3</v>
      </c>
      <c r="D9" s="2125">
        <f>Techno_Porte!H9+2.5*Погонаж!C12+5*Погонаж!E12</f>
        <v>48675</v>
      </c>
      <c r="E9" s="2124">
        <f>Techno_Porte!H10+2.5*Погонаж!C13+5*Погонаж!E13</f>
        <v>51075</v>
      </c>
      <c r="F9" s="2125">
        <f>Techno_Porte!H11+2.5*Погонаж!C14+5*Погонаж!E14</f>
        <v>52375</v>
      </c>
      <c r="G9" s="2127">
        <f>Techno_Porte!H12+2.5*Погонаж!C15+5*Погонаж!E15</f>
        <v>53750</v>
      </c>
      <c r="H9" s="2076"/>
      <c r="I9" s="2249" t="s">
        <v>2019</v>
      </c>
      <c r="J9" s="2125">
        <v>44250</v>
      </c>
      <c r="K9" s="2126" t="s">
        <v>3</v>
      </c>
      <c r="L9" s="2125">
        <v>46400</v>
      </c>
      <c r="M9" s="2124">
        <v>48500</v>
      </c>
      <c r="N9" s="2125">
        <v>50000</v>
      </c>
      <c r="O9" s="2127">
        <v>51325</v>
      </c>
      <c r="Q9" s="2249" t="s">
        <v>2019</v>
      </c>
      <c r="R9" s="2253">
        <f>B9/J9-1</f>
        <v>5.1977401129943424E-2</v>
      </c>
      <c r="S9" s="2253"/>
      <c r="T9" s="2253">
        <f t="shared" si="0"/>
        <v>4.9030172413793149E-2</v>
      </c>
      <c r="U9" s="2253">
        <f t="shared" si="0"/>
        <v>5.3092783505154673E-2</v>
      </c>
      <c r="V9" s="2253">
        <f t="shared" si="0"/>
        <v>4.7500000000000098E-2</v>
      </c>
      <c r="W9" s="2253">
        <f t="shared" si="0"/>
        <v>4.7247929858743376E-2</v>
      </c>
    </row>
    <row r="10" spans="1:30" ht="15.75" thickBot="1">
      <c r="A10" s="2096" t="s">
        <v>2020</v>
      </c>
      <c r="B10" s="2125" t="s">
        <v>3</v>
      </c>
      <c r="C10" s="2126" t="s">
        <v>3</v>
      </c>
      <c r="D10" s="2128" t="s">
        <v>3</v>
      </c>
      <c r="E10" s="2126" t="s">
        <v>3</v>
      </c>
      <c r="F10" s="2128" t="s">
        <v>3</v>
      </c>
      <c r="G10" s="2129" t="s">
        <v>3</v>
      </c>
      <c r="H10" s="2076"/>
      <c r="I10" s="2249" t="s">
        <v>2020</v>
      </c>
      <c r="J10" s="2125" t="s">
        <v>3</v>
      </c>
      <c r="K10" s="2126" t="s">
        <v>3</v>
      </c>
      <c r="L10" s="2128" t="s">
        <v>3</v>
      </c>
      <c r="M10" s="2126" t="s">
        <v>3</v>
      </c>
      <c r="N10" s="2128" t="s">
        <v>3</v>
      </c>
      <c r="O10" s="2129" t="s">
        <v>3</v>
      </c>
      <c r="Q10" s="2249" t="s">
        <v>2020</v>
      </c>
      <c r="R10" s="2253"/>
      <c r="S10" s="2253"/>
      <c r="T10" s="2253"/>
      <c r="U10" s="2253"/>
      <c r="V10" s="2253"/>
      <c r="W10" s="2253"/>
    </row>
    <row r="11" spans="1:30" ht="15.75" thickBot="1">
      <c r="A11" s="2096" t="s">
        <v>1974</v>
      </c>
      <c r="B11" s="2125">
        <f>Techno_Porte!J8+2.5*Погонаж!C11+5*Погонаж!E11</f>
        <v>37300</v>
      </c>
      <c r="C11" s="2126" t="s">
        <v>3</v>
      </c>
      <c r="D11" s="2125">
        <f>Techno_Porte!J9+2.5*Погонаж!C12+5*Погонаж!E12</f>
        <v>40712.5</v>
      </c>
      <c r="E11" s="2124">
        <f>Techno_Porte!J10+2.5*Погонаж!C13+5*Погонаж!E13</f>
        <v>43937.5</v>
      </c>
      <c r="F11" s="2125">
        <f>Techno_Porte!J11+2.5*Погонаж!C14+5*Погонаж!E14</f>
        <v>45712.5</v>
      </c>
      <c r="G11" s="2127">
        <f>Techno_Porte!J12+2.5*Погонаж!C15+5*Погонаж!E15</f>
        <v>47612.5</v>
      </c>
      <c r="H11" s="2076"/>
      <c r="I11" s="2249" t="s">
        <v>1974</v>
      </c>
      <c r="J11" s="2125">
        <v>35500</v>
      </c>
      <c r="K11" s="2126" t="s">
        <v>3</v>
      </c>
      <c r="L11" s="2125">
        <v>38837.5</v>
      </c>
      <c r="M11" s="2124">
        <v>41712.5</v>
      </c>
      <c r="N11" s="2125">
        <v>43687.5</v>
      </c>
      <c r="O11" s="2127">
        <v>45525</v>
      </c>
      <c r="Q11" s="2249" t="s">
        <v>1974</v>
      </c>
      <c r="R11" s="2253">
        <f>B11/J11-1</f>
        <v>5.0704225352112609E-2</v>
      </c>
      <c r="S11" s="2253"/>
      <c r="T11" s="2253">
        <f t="shared" ref="T11:W12" si="1">D11/L11-1</f>
        <v>4.8278081750884994E-2</v>
      </c>
      <c r="U11" s="2253">
        <f t="shared" si="1"/>
        <v>5.3341324543002777E-2</v>
      </c>
      <c r="V11" s="2253">
        <f t="shared" si="1"/>
        <v>4.6351931330472107E-2</v>
      </c>
      <c r="W11" s="2253">
        <f t="shared" si="1"/>
        <v>4.5853926414058277E-2</v>
      </c>
    </row>
    <row r="12" spans="1:30" ht="15.75" thickBot="1">
      <c r="A12" s="2096" t="s">
        <v>2021</v>
      </c>
      <c r="B12" s="2125">
        <f>Techno_Porte!K8+Алюм.погонаж!E9</f>
        <v>55577.5</v>
      </c>
      <c r="C12" s="2126" t="s">
        <v>3</v>
      </c>
      <c r="D12" s="2125">
        <f>Techno_Porte!K9+2.5*Погонаж!C12+5*Погонаж!E12</f>
        <v>56612.5</v>
      </c>
      <c r="E12" s="2124">
        <f>Techno_Porte!K10+2.5*Погонаж!C13+5*Погонаж!E13</f>
        <v>59837.5</v>
      </c>
      <c r="F12" s="2125">
        <f>Techno_Porte!K11+2.5*Погонаж!C14+5*Погонаж!E14</f>
        <v>61612.5</v>
      </c>
      <c r="G12" s="2127">
        <f>Techno_Porte!K12+2.5*Погонаж!C15+5*Погонаж!E15</f>
        <v>63512.5</v>
      </c>
      <c r="H12" s="2076"/>
      <c r="I12" s="2249" t="s">
        <v>2021</v>
      </c>
      <c r="J12" s="2125">
        <v>53247.5</v>
      </c>
      <c r="K12" s="2126" t="s">
        <v>3</v>
      </c>
      <c r="L12" s="2125">
        <v>54387.5</v>
      </c>
      <c r="M12" s="2124">
        <v>57262.5</v>
      </c>
      <c r="N12" s="2125">
        <v>59237.5</v>
      </c>
      <c r="O12" s="2127">
        <v>61075</v>
      </c>
      <c r="Q12" s="2249" t="s">
        <v>2021</v>
      </c>
      <c r="R12" s="2253">
        <f>B12/J12-1</f>
        <v>4.3757922907178726E-2</v>
      </c>
      <c r="S12" s="2253"/>
      <c r="T12" s="2253">
        <f t="shared" si="1"/>
        <v>4.091013560101131E-2</v>
      </c>
      <c r="U12" s="2253">
        <f t="shared" si="1"/>
        <v>4.4968347522374996E-2</v>
      </c>
      <c r="V12" s="2253">
        <f t="shared" si="1"/>
        <v>4.0092846592107989E-2</v>
      </c>
      <c r="W12" s="2253">
        <f t="shared" si="1"/>
        <v>3.9909946786737649E-2</v>
      </c>
    </row>
    <row r="13" spans="1:30" ht="15.75" thickBot="1">
      <c r="A13" s="2097" t="s">
        <v>2022</v>
      </c>
      <c r="B13" s="2131" t="s">
        <v>3</v>
      </c>
      <c r="C13" s="2132" t="s">
        <v>3</v>
      </c>
      <c r="D13" s="2133" t="s">
        <v>3</v>
      </c>
      <c r="E13" s="2132" t="s">
        <v>3</v>
      </c>
      <c r="F13" s="2133" t="s">
        <v>3</v>
      </c>
      <c r="G13" s="2134" t="s">
        <v>3</v>
      </c>
      <c r="H13" s="2076"/>
      <c r="I13" s="2097" t="s">
        <v>2022</v>
      </c>
      <c r="J13" s="2131" t="s">
        <v>3</v>
      </c>
      <c r="K13" s="2132" t="s">
        <v>3</v>
      </c>
      <c r="L13" s="2133" t="s">
        <v>3</v>
      </c>
      <c r="M13" s="2132" t="s">
        <v>3</v>
      </c>
      <c r="N13" s="2133" t="s">
        <v>3</v>
      </c>
      <c r="O13" s="2134" t="s">
        <v>3</v>
      </c>
      <c r="Q13" s="2097" t="s">
        <v>2022</v>
      </c>
      <c r="R13" s="2253"/>
      <c r="S13" s="2253"/>
      <c r="T13" s="2253"/>
      <c r="U13" s="2253"/>
      <c r="V13" s="2253"/>
      <c r="W13" s="2253"/>
    </row>
    <row r="14" spans="1:30" ht="15.75" thickBot="1">
      <c r="A14" s="2095" t="s">
        <v>1975</v>
      </c>
      <c r="B14" s="2121">
        <f>Techno_Slot!G7+2.5*Погонаж!C11+5*Погонаж!D11</f>
        <v>33700</v>
      </c>
      <c r="C14" s="2122" t="s">
        <v>3</v>
      </c>
      <c r="D14" s="2121">
        <f>Techno_Slot!G8+2.5*Погонаж!C12+5*Погонаж!D12</f>
        <v>36595</v>
      </c>
      <c r="E14" s="2120">
        <f>Techno_Slot!G9+2.5*Погонаж!C13+5*Погонаж!D13</f>
        <v>39425</v>
      </c>
      <c r="F14" s="2121">
        <f>Techno_Slot!G10+2.5*Погонаж!C14+5*Погонаж!E14</f>
        <v>40945</v>
      </c>
      <c r="G14" s="2123">
        <f>Techno_Slot!G11+2.5*Погонаж!C15+5*Погонаж!E15</f>
        <v>42590</v>
      </c>
      <c r="H14" s="2076"/>
      <c r="I14" s="2095" t="s">
        <v>1975</v>
      </c>
      <c r="J14" s="2121">
        <v>32035</v>
      </c>
      <c r="K14" s="2122" t="s">
        <v>3</v>
      </c>
      <c r="L14" s="2121">
        <v>34870</v>
      </c>
      <c r="M14" s="2120">
        <v>37370</v>
      </c>
      <c r="N14" s="2121">
        <v>39100</v>
      </c>
      <c r="O14" s="2123">
        <v>40695</v>
      </c>
      <c r="Q14" s="2095" t="s">
        <v>1975</v>
      </c>
      <c r="R14" s="2253">
        <f t="shared" ref="R14:R27" si="2">B14/J14-1</f>
        <v>5.1974402996722402E-2</v>
      </c>
      <c r="S14" s="2253"/>
      <c r="T14" s="2253">
        <f t="shared" ref="T14:T23" si="3">D14/L14-1</f>
        <v>4.9469457986808241E-2</v>
      </c>
      <c r="U14" s="2253">
        <f t="shared" ref="U14:U23" si="4">E14/M14-1</f>
        <v>5.4990634198555099E-2</v>
      </c>
      <c r="V14" s="2253">
        <f t="shared" ref="V14:V23" si="5">F14/N14-1</f>
        <v>4.7186700767263501E-2</v>
      </c>
      <c r="W14" s="2253">
        <f t="shared" ref="W14:W23" si="6">G14/O14-1</f>
        <v>4.6565917188843731E-2</v>
      </c>
    </row>
    <row r="15" spans="1:30" ht="15.75" thickBot="1">
      <c r="A15" s="2096" t="s">
        <v>2024</v>
      </c>
      <c r="B15" s="2125">
        <f>Techno_Slot!I7+2.5*Погонаж!C11+5*Погонаж!D11</f>
        <v>38400</v>
      </c>
      <c r="C15" s="2126" t="s">
        <v>3</v>
      </c>
      <c r="D15" s="2125">
        <f>Techno_Slot!I8+2.5*Погонаж!C12+5*Погонаж!D12</f>
        <v>41295</v>
      </c>
      <c r="E15" s="2124">
        <f>Techno_Slot!I9+2.5*Погонаж!C13+5*Погонаж!D13</f>
        <v>44125</v>
      </c>
      <c r="F15" s="2125">
        <f>Techno_Slot!I10+2.5*Погонаж!C14+5*Погонаж!E14</f>
        <v>45645</v>
      </c>
      <c r="G15" s="2127">
        <f>Techno_Slot!I11+2.5*Погонаж!C15+5*Погонаж!E15</f>
        <v>47290</v>
      </c>
      <c r="H15" s="2076"/>
      <c r="I15" s="2249" t="s">
        <v>2024</v>
      </c>
      <c r="J15" s="2125">
        <v>36505</v>
      </c>
      <c r="K15" s="2126" t="s">
        <v>3</v>
      </c>
      <c r="L15" s="2125">
        <v>39340</v>
      </c>
      <c r="M15" s="2124">
        <v>41840</v>
      </c>
      <c r="N15" s="2125">
        <v>43570</v>
      </c>
      <c r="O15" s="2127">
        <v>45165</v>
      </c>
      <c r="Q15" s="2249" t="s">
        <v>2024</v>
      </c>
      <c r="R15" s="2253">
        <f t="shared" si="2"/>
        <v>5.1910697164772035E-2</v>
      </c>
      <c r="S15" s="2253"/>
      <c r="T15" s="2253">
        <f t="shared" si="3"/>
        <v>4.9694966954753506E-2</v>
      </c>
      <c r="U15" s="2253">
        <f t="shared" si="4"/>
        <v>5.4612810707457049E-2</v>
      </c>
      <c r="V15" s="2253">
        <f t="shared" si="5"/>
        <v>4.7624512279091036E-2</v>
      </c>
      <c r="W15" s="2253">
        <f t="shared" si="6"/>
        <v>4.7049706631240973E-2</v>
      </c>
    </row>
    <row r="16" spans="1:30" ht="15.75" thickBot="1">
      <c r="A16" s="2096" t="s">
        <v>1493</v>
      </c>
      <c r="B16" s="2125">
        <f>Techno_Slot!J7+2.5*Погонаж!C11+5*Погонаж!D11</f>
        <v>35650</v>
      </c>
      <c r="C16" s="2126" t="s">
        <v>3</v>
      </c>
      <c r="D16" s="2125">
        <f>Techno_Slot!J8+2.5*Погонаж!C12+5*Погонаж!D12</f>
        <v>38545</v>
      </c>
      <c r="E16" s="2124">
        <f>Techno_Slot!J9+2.5*Погонаж!C13+5*Погонаж!D13</f>
        <v>41375</v>
      </c>
      <c r="F16" s="2125">
        <f>Techno_Slot!J10+2.5*Погонаж!C14+5*Погонаж!E14</f>
        <v>42895</v>
      </c>
      <c r="G16" s="2127">
        <f>Techno_Slot!J11+2.5*Погонаж!C15+5*Погонаж!E15</f>
        <v>44540</v>
      </c>
      <c r="H16" s="2076"/>
      <c r="I16" s="2249" t="s">
        <v>1493</v>
      </c>
      <c r="J16" s="2125">
        <v>33905</v>
      </c>
      <c r="K16" s="2126" t="s">
        <v>3</v>
      </c>
      <c r="L16" s="2125">
        <v>36740</v>
      </c>
      <c r="M16" s="2124">
        <v>39240</v>
      </c>
      <c r="N16" s="2125">
        <v>40970</v>
      </c>
      <c r="O16" s="2127">
        <v>42565</v>
      </c>
      <c r="Q16" s="2249" t="s">
        <v>1493</v>
      </c>
      <c r="R16" s="2253">
        <f t="shared" si="2"/>
        <v>5.1467335201297759E-2</v>
      </c>
      <c r="S16" s="2253"/>
      <c r="T16" s="2253">
        <f t="shared" si="3"/>
        <v>4.9129014697876894E-2</v>
      </c>
      <c r="U16" s="2253">
        <f t="shared" si="4"/>
        <v>5.4408766564729927E-2</v>
      </c>
      <c r="V16" s="2253">
        <f t="shared" si="5"/>
        <v>4.6985599218940743E-2</v>
      </c>
      <c r="W16" s="2253">
        <f t="shared" si="6"/>
        <v>4.6399624104310977E-2</v>
      </c>
    </row>
    <row r="17" spans="1:23" ht="15.75" thickBot="1">
      <c r="A17" s="2097" t="s">
        <v>2025</v>
      </c>
      <c r="B17" s="2131">
        <f>Techno_Slot!K7+2.5*Погонаж!C11+5*Погонаж!D11</f>
        <v>40050</v>
      </c>
      <c r="C17" s="2132" t="s">
        <v>3</v>
      </c>
      <c r="D17" s="2131">
        <f>Techno_Slot!K8+2.5*Погонаж!C12+5*Погонаж!D12</f>
        <v>42945</v>
      </c>
      <c r="E17" s="2130">
        <f>Techno_Slot!K9+2.5*Погонаж!C13+5*Погонаж!D13</f>
        <v>45775</v>
      </c>
      <c r="F17" s="2131">
        <f>Techno_Slot!K10+2.5*Погонаж!C14+5*Погонаж!E14</f>
        <v>47295</v>
      </c>
      <c r="G17" s="2135">
        <f>Techno_Slot!K11+2.5*Погонаж!C15+5*Погонаж!E15</f>
        <v>48940</v>
      </c>
      <c r="H17" s="2076"/>
      <c r="I17" s="2097" t="s">
        <v>2025</v>
      </c>
      <c r="J17" s="2131">
        <v>38065</v>
      </c>
      <c r="K17" s="2132" t="s">
        <v>3</v>
      </c>
      <c r="L17" s="2131">
        <v>40900</v>
      </c>
      <c r="M17" s="2130">
        <v>43400</v>
      </c>
      <c r="N17" s="2131">
        <v>45130</v>
      </c>
      <c r="O17" s="2135">
        <v>46725</v>
      </c>
      <c r="Q17" s="2097" t="s">
        <v>2025</v>
      </c>
      <c r="R17" s="2253">
        <f t="shared" si="2"/>
        <v>5.2147642190988996E-2</v>
      </c>
      <c r="S17" s="2253"/>
      <c r="T17" s="2253">
        <f t="shared" si="3"/>
        <v>5.0000000000000044E-2</v>
      </c>
      <c r="U17" s="2253">
        <f t="shared" si="4"/>
        <v>5.4723502304147464E-2</v>
      </c>
      <c r="V17" s="2253">
        <f t="shared" si="5"/>
        <v>4.7972523820075441E-2</v>
      </c>
      <c r="W17" s="2253">
        <f t="shared" si="6"/>
        <v>4.7405029427501244E-2</v>
      </c>
    </row>
    <row r="18" spans="1:23" ht="15.75" thickBot="1">
      <c r="A18" s="2098" t="s">
        <v>1979</v>
      </c>
      <c r="B18" s="2121">
        <f>Techno_Vetro!G7+2.5*Погонаж!C11+5*Погонаж!D11</f>
        <v>37850</v>
      </c>
      <c r="C18" s="2122" t="s">
        <v>3</v>
      </c>
      <c r="D18" s="2121">
        <f>Techno_Vetro!G8+2.5*Погонаж!C12+5*Погонаж!D12</f>
        <v>40975</v>
      </c>
      <c r="E18" s="2120">
        <f>Techno_Vetro!G9+2.5*Погонаж!C13+5*Погонаж!D13</f>
        <v>44225</v>
      </c>
      <c r="F18" s="2121">
        <f>Techno_Vetro!G10+2.5*Погонаж!C14+5*Погонаж!E14</f>
        <v>46015</v>
      </c>
      <c r="G18" s="2123">
        <f>Techno_Vetro!G11+2.5*Погонаж!C15+5*Погонаж!E15</f>
        <v>47930</v>
      </c>
      <c r="H18" s="2076"/>
      <c r="I18" s="2098" t="s">
        <v>1979</v>
      </c>
      <c r="J18" s="2121">
        <v>36025</v>
      </c>
      <c r="K18" s="2122" t="s">
        <v>3</v>
      </c>
      <c r="L18" s="2121">
        <v>39070</v>
      </c>
      <c r="M18" s="2120">
        <v>41970</v>
      </c>
      <c r="N18" s="2121">
        <v>43950</v>
      </c>
      <c r="O18" s="2123">
        <v>45795</v>
      </c>
      <c r="Q18" s="2098" t="s">
        <v>1979</v>
      </c>
      <c r="R18" s="2253">
        <f t="shared" si="2"/>
        <v>5.0659264399722348E-2</v>
      </c>
      <c r="S18" s="2253"/>
      <c r="T18" s="2253">
        <f t="shared" si="3"/>
        <v>4.8758638341438454E-2</v>
      </c>
      <c r="U18" s="2253">
        <f t="shared" si="4"/>
        <v>5.3728853943292743E-2</v>
      </c>
      <c r="V18" s="2253">
        <f t="shared" si="5"/>
        <v>4.698521046643922E-2</v>
      </c>
      <c r="W18" s="2253">
        <f t="shared" si="6"/>
        <v>4.6620810132110391E-2</v>
      </c>
    </row>
    <row r="19" spans="1:23" ht="15.75" thickBot="1">
      <c r="A19" s="2099" t="s">
        <v>1980</v>
      </c>
      <c r="B19" s="2125">
        <f>Techno_Vetro!H7+2.5*Погонаж!C11+5*Погонаж!D11</f>
        <v>37850</v>
      </c>
      <c r="C19" s="2126" t="s">
        <v>3</v>
      </c>
      <c r="D19" s="2125">
        <f>Techno_Vetro!H8+2.5*Погонаж!C12+5*Погонаж!D12</f>
        <v>40975</v>
      </c>
      <c r="E19" s="2124">
        <f>Techno_Vetro!H9+2.5*Погонаж!C13+5*Погонаж!D13</f>
        <v>44225</v>
      </c>
      <c r="F19" s="2125">
        <f>Techno_Vetro!H10+2.5*Погонаж!C14+5*Погонаж!E14</f>
        <v>46015</v>
      </c>
      <c r="G19" s="2127">
        <f>Techno_Vetro!H11+2.5*Погонаж!C15+5*Погонаж!E15</f>
        <v>47930</v>
      </c>
      <c r="H19" s="2076"/>
      <c r="I19" s="2250" t="s">
        <v>1980</v>
      </c>
      <c r="J19" s="2125">
        <v>36025</v>
      </c>
      <c r="K19" s="2126" t="s">
        <v>3</v>
      </c>
      <c r="L19" s="2125">
        <v>39070</v>
      </c>
      <c r="M19" s="2124">
        <v>41970</v>
      </c>
      <c r="N19" s="2125">
        <v>43950</v>
      </c>
      <c r="O19" s="2127">
        <v>45795</v>
      </c>
      <c r="Q19" s="2250" t="s">
        <v>1980</v>
      </c>
      <c r="R19" s="2253">
        <f t="shared" si="2"/>
        <v>5.0659264399722348E-2</v>
      </c>
      <c r="S19" s="2253"/>
      <c r="T19" s="2253">
        <f t="shared" si="3"/>
        <v>4.8758638341438454E-2</v>
      </c>
      <c r="U19" s="2253">
        <f t="shared" si="4"/>
        <v>5.3728853943292743E-2</v>
      </c>
      <c r="V19" s="2253">
        <f t="shared" si="5"/>
        <v>4.698521046643922E-2</v>
      </c>
      <c r="W19" s="2253">
        <f t="shared" si="6"/>
        <v>4.6620810132110391E-2</v>
      </c>
    </row>
    <row r="20" spans="1:23" ht="15.75" thickBot="1">
      <c r="A20" s="2099" t="s">
        <v>1981</v>
      </c>
      <c r="B20" s="2125">
        <f>Techno_Vetro!I7+2.5*Погонаж!C11+5*Погонаж!D11</f>
        <v>37850</v>
      </c>
      <c r="C20" s="2126" t="s">
        <v>3</v>
      </c>
      <c r="D20" s="2125">
        <f>Techno_Vetro!I8+2.5*Погонаж!C12+5*Погонаж!D12</f>
        <v>40975</v>
      </c>
      <c r="E20" s="2124">
        <f>Techno_Vetro!I9+2.5*Погонаж!C13+5*Погонаж!D13</f>
        <v>44225</v>
      </c>
      <c r="F20" s="2125">
        <f>Techno_Vetro!I10+2.5*Погонаж!C14+5*Погонаж!E14</f>
        <v>46015</v>
      </c>
      <c r="G20" s="2127">
        <f>Techno_Vetro!I11+2.5*Погонаж!C15+5*Погонаж!E15</f>
        <v>47930</v>
      </c>
      <c r="H20" s="2076"/>
      <c r="I20" s="2250" t="s">
        <v>1981</v>
      </c>
      <c r="J20" s="2125">
        <v>36025</v>
      </c>
      <c r="K20" s="2126" t="s">
        <v>3</v>
      </c>
      <c r="L20" s="2125">
        <v>39070</v>
      </c>
      <c r="M20" s="2124">
        <v>41970</v>
      </c>
      <c r="N20" s="2125">
        <v>43950</v>
      </c>
      <c r="O20" s="2127">
        <v>45795</v>
      </c>
      <c r="Q20" s="2250" t="s">
        <v>1981</v>
      </c>
      <c r="R20" s="2253">
        <f t="shared" si="2"/>
        <v>5.0659264399722348E-2</v>
      </c>
      <c r="S20" s="2253"/>
      <c r="T20" s="2253">
        <f t="shared" si="3"/>
        <v>4.8758638341438454E-2</v>
      </c>
      <c r="U20" s="2253">
        <f t="shared" si="4"/>
        <v>5.3728853943292743E-2</v>
      </c>
      <c r="V20" s="2253">
        <f t="shared" si="5"/>
        <v>4.698521046643922E-2</v>
      </c>
      <c r="W20" s="2253">
        <f t="shared" si="6"/>
        <v>4.6620810132110391E-2</v>
      </c>
    </row>
    <row r="21" spans="1:23" ht="15.75" thickBot="1">
      <c r="A21" s="2099" t="s">
        <v>1982</v>
      </c>
      <c r="B21" s="2125">
        <f>Techno_Vetro!J7+2.5*Погонаж!C11+5*Погонаж!D11</f>
        <v>37850</v>
      </c>
      <c r="C21" s="2126" t="s">
        <v>3</v>
      </c>
      <c r="D21" s="2125">
        <f>Techno_Vetro!J8+2.5*Погонаж!C12+5*Погонаж!D12</f>
        <v>40975</v>
      </c>
      <c r="E21" s="2124">
        <f>Techno_Vetro!J9+2.5*Погонаж!C13+5*Погонаж!D13</f>
        <v>44225</v>
      </c>
      <c r="F21" s="2125">
        <f>Techno_Vetro!J10+2.5*Погонаж!C14+5*Погонаж!E14</f>
        <v>46015</v>
      </c>
      <c r="G21" s="2127">
        <f>Techno_Vetro!J11+2.5*Погонаж!C15+5*Погонаж!E15</f>
        <v>47930</v>
      </c>
      <c r="H21" s="2076"/>
      <c r="I21" s="2250" t="s">
        <v>1982</v>
      </c>
      <c r="J21" s="2125">
        <v>36025</v>
      </c>
      <c r="K21" s="2126" t="s">
        <v>3</v>
      </c>
      <c r="L21" s="2125">
        <v>39070</v>
      </c>
      <c r="M21" s="2124">
        <v>41970</v>
      </c>
      <c r="N21" s="2125">
        <v>43950</v>
      </c>
      <c r="O21" s="2127">
        <v>45795</v>
      </c>
      <c r="Q21" s="2250" t="s">
        <v>1982</v>
      </c>
      <c r="R21" s="2253">
        <f t="shared" si="2"/>
        <v>5.0659264399722348E-2</v>
      </c>
      <c r="S21" s="2253"/>
      <c r="T21" s="2253">
        <f t="shared" si="3"/>
        <v>4.8758638341438454E-2</v>
      </c>
      <c r="U21" s="2253">
        <f t="shared" si="4"/>
        <v>5.3728853943292743E-2</v>
      </c>
      <c r="V21" s="2253">
        <f t="shared" si="5"/>
        <v>4.698521046643922E-2</v>
      </c>
      <c r="W21" s="2253">
        <f t="shared" si="6"/>
        <v>4.6620810132110391E-2</v>
      </c>
    </row>
    <row r="22" spans="1:23" ht="15.75" thickBot="1">
      <c r="A22" s="2099" t="s">
        <v>229</v>
      </c>
      <c r="B22" s="2125">
        <f>Techno_Vetro!L7+2.5*Погонаж!C11+5*Погонаж!D11</f>
        <v>37850</v>
      </c>
      <c r="C22" s="2126" t="s">
        <v>3</v>
      </c>
      <c r="D22" s="2125">
        <f>Techno_Vetro!L8+2.5*Погонаж!C12+5*Погонаж!D12</f>
        <v>40975</v>
      </c>
      <c r="E22" s="2124">
        <f>Techno_Vetro!L9+2.5*Погонаж!C13+5*Погонаж!D13</f>
        <v>44225</v>
      </c>
      <c r="F22" s="2125">
        <f>Techno_Vetro!L10+2.5*Погонаж!C14+5*Погонаж!E14</f>
        <v>46015</v>
      </c>
      <c r="G22" s="2127">
        <f>Techno_Vetro!L11+2.5*Погонаж!C15+5*Погонаж!E15</f>
        <v>47930</v>
      </c>
      <c r="H22" s="2076"/>
      <c r="I22" s="2250" t="s">
        <v>229</v>
      </c>
      <c r="J22" s="2125">
        <v>36025</v>
      </c>
      <c r="K22" s="2126" t="s">
        <v>3</v>
      </c>
      <c r="L22" s="2125">
        <v>39070</v>
      </c>
      <c r="M22" s="2124">
        <v>41970</v>
      </c>
      <c r="N22" s="2125">
        <v>43950</v>
      </c>
      <c r="O22" s="2127">
        <v>45795</v>
      </c>
      <c r="Q22" s="2250" t="s">
        <v>229</v>
      </c>
      <c r="R22" s="2253">
        <f t="shared" si="2"/>
        <v>5.0659264399722348E-2</v>
      </c>
      <c r="S22" s="2253"/>
      <c r="T22" s="2253">
        <f t="shared" si="3"/>
        <v>4.8758638341438454E-2</v>
      </c>
      <c r="U22" s="2253">
        <f t="shared" si="4"/>
        <v>5.3728853943292743E-2</v>
      </c>
      <c r="V22" s="2253">
        <f t="shared" si="5"/>
        <v>4.698521046643922E-2</v>
      </c>
      <c r="W22" s="2253">
        <f t="shared" si="6"/>
        <v>4.6620810132110391E-2</v>
      </c>
    </row>
    <row r="23" spans="1:23" ht="15.75" thickBot="1">
      <c r="A23" s="2100" t="s">
        <v>2023</v>
      </c>
      <c r="B23" s="2137">
        <f>Techno_Vetro!M7+2.5*Погонаж!C11+5*Погонаж!D11</f>
        <v>58100</v>
      </c>
      <c r="C23" s="2136" t="s">
        <v>3</v>
      </c>
      <c r="D23" s="2137">
        <f>Techno_Vetro!M8+2.5*Погонаж!C12+5*Погонаж!D12</f>
        <v>58925</v>
      </c>
      <c r="E23" s="2138">
        <f>Techno_Vetro!M9+2.5*Погонаж!C13+5*Погонаж!D13</f>
        <v>60175</v>
      </c>
      <c r="F23" s="2137">
        <f>Techno_Vetro!M10+2.5*Погонаж!C14+5*Погонаж!E14</f>
        <v>60675</v>
      </c>
      <c r="G23" s="2139">
        <f>Techno_Vetro!M11+2.5*Погонаж!C15+5*Погонаж!E15</f>
        <v>61300</v>
      </c>
      <c r="H23" s="2076"/>
      <c r="I23" s="2100" t="s">
        <v>2023</v>
      </c>
      <c r="J23" s="2137">
        <v>55185</v>
      </c>
      <c r="K23" s="2136" t="s">
        <v>3</v>
      </c>
      <c r="L23" s="2137">
        <v>56010</v>
      </c>
      <c r="M23" s="2138">
        <v>57010</v>
      </c>
      <c r="N23" s="2137">
        <v>57760</v>
      </c>
      <c r="O23" s="2139">
        <v>58385</v>
      </c>
      <c r="Q23" s="2100" t="s">
        <v>2023</v>
      </c>
      <c r="R23" s="2253">
        <f t="shared" si="2"/>
        <v>5.2822324907130458E-2</v>
      </c>
      <c r="S23" s="2253"/>
      <c r="T23" s="2253">
        <f t="shared" si="3"/>
        <v>5.2044277807534289E-2</v>
      </c>
      <c r="U23" s="2253">
        <f t="shared" si="4"/>
        <v>5.5516576039291277E-2</v>
      </c>
      <c r="V23" s="2253">
        <f t="shared" si="5"/>
        <v>5.0467451523545703E-2</v>
      </c>
      <c r="W23" s="2253">
        <f t="shared" si="6"/>
        <v>4.9927207330650036E-2</v>
      </c>
    </row>
    <row r="24" spans="1:23" ht="15.75" thickBot="1">
      <c r="A24" s="2098" t="s">
        <v>903</v>
      </c>
      <c r="B24" s="2121">
        <f>Twist!G7+2.5*Погонаж!C11+5*Погонаж!D11</f>
        <v>33800</v>
      </c>
      <c r="C24" s="2120">
        <f>Twist!G8+2.5*Погонаж!C11+5*Погонаж!D11</f>
        <v>40850</v>
      </c>
      <c r="D24" s="2121" t="s">
        <v>3</v>
      </c>
      <c r="E24" s="2120" t="s">
        <v>3</v>
      </c>
      <c r="F24" s="2121" t="s">
        <v>3</v>
      </c>
      <c r="G24" s="2123" t="s">
        <v>3</v>
      </c>
      <c r="I24" s="2098" t="s">
        <v>903</v>
      </c>
      <c r="J24" s="2121">
        <v>32175</v>
      </c>
      <c r="K24" s="2120">
        <v>38925</v>
      </c>
      <c r="L24" s="2121" t="s">
        <v>3</v>
      </c>
      <c r="M24" s="2120" t="s">
        <v>3</v>
      </c>
      <c r="N24" s="2121" t="s">
        <v>3</v>
      </c>
      <c r="O24" s="2123" t="s">
        <v>3</v>
      </c>
      <c r="Q24" s="2098" t="s">
        <v>903</v>
      </c>
      <c r="R24" s="2253">
        <f t="shared" si="2"/>
        <v>5.0505050505050608E-2</v>
      </c>
      <c r="S24" s="2253">
        <f>C24/K24-1</f>
        <v>4.9454078355812392E-2</v>
      </c>
      <c r="T24" s="2253"/>
      <c r="U24" s="2253"/>
      <c r="V24" s="2253"/>
      <c r="W24" s="2253"/>
    </row>
    <row r="25" spans="1:23" ht="15.75" thickBot="1">
      <c r="A25" s="2099" t="s">
        <v>904</v>
      </c>
      <c r="B25" s="2125">
        <f>Twist!H7+2.5*Погонаж!C11+5*Погонаж!D11</f>
        <v>33800</v>
      </c>
      <c r="C25" s="2124">
        <f>Twist!H8+2.5*Погонаж!C11+5*Погонаж!D11</f>
        <v>40850</v>
      </c>
      <c r="D25" s="2128" t="s">
        <v>3</v>
      </c>
      <c r="E25" s="2126" t="s">
        <v>3</v>
      </c>
      <c r="F25" s="2128" t="s">
        <v>3</v>
      </c>
      <c r="G25" s="2129" t="s">
        <v>3</v>
      </c>
      <c r="I25" s="2250" t="s">
        <v>904</v>
      </c>
      <c r="J25" s="2125">
        <v>32175</v>
      </c>
      <c r="K25" s="2124">
        <v>38925</v>
      </c>
      <c r="L25" s="2128" t="s">
        <v>3</v>
      </c>
      <c r="M25" s="2126" t="s">
        <v>3</v>
      </c>
      <c r="N25" s="2128" t="s">
        <v>3</v>
      </c>
      <c r="O25" s="2129" t="s">
        <v>3</v>
      </c>
      <c r="Q25" s="2250" t="s">
        <v>904</v>
      </c>
      <c r="R25" s="2253">
        <f t="shared" si="2"/>
        <v>5.0505050505050608E-2</v>
      </c>
      <c r="S25" s="2253">
        <f>C25/K25-1</f>
        <v>4.9454078355812392E-2</v>
      </c>
      <c r="T25" s="2253"/>
      <c r="U25" s="2253"/>
      <c r="V25" s="2253"/>
      <c r="W25" s="2253"/>
    </row>
    <row r="26" spans="1:23" ht="15.75" thickBot="1">
      <c r="A26" s="2099" t="s">
        <v>1983</v>
      </c>
      <c r="B26" s="2125">
        <f>Twist!I7+2.5*Погонаж!C11+5*Погонаж!D11</f>
        <v>33800</v>
      </c>
      <c r="C26" s="2124">
        <f>Twist!I8+2.5*Погонаж!C11+5*Погонаж!D11</f>
        <v>40850</v>
      </c>
      <c r="D26" s="2128" t="s">
        <v>3</v>
      </c>
      <c r="E26" s="2126" t="s">
        <v>3</v>
      </c>
      <c r="F26" s="2128" t="s">
        <v>3</v>
      </c>
      <c r="G26" s="2129" t="s">
        <v>3</v>
      </c>
      <c r="I26" s="2250" t="s">
        <v>1983</v>
      </c>
      <c r="J26" s="2125">
        <v>32175</v>
      </c>
      <c r="K26" s="2124">
        <v>38925</v>
      </c>
      <c r="L26" s="2128" t="s">
        <v>3</v>
      </c>
      <c r="M26" s="2126" t="s">
        <v>3</v>
      </c>
      <c r="N26" s="2128" t="s">
        <v>3</v>
      </c>
      <c r="O26" s="2129" t="s">
        <v>3</v>
      </c>
      <c r="Q26" s="2250" t="s">
        <v>1983</v>
      </c>
      <c r="R26" s="2253">
        <f t="shared" si="2"/>
        <v>5.0505050505050608E-2</v>
      </c>
      <c r="S26" s="2253">
        <f>C26/K26-1</f>
        <v>4.9454078355812392E-2</v>
      </c>
      <c r="T26" s="2253"/>
      <c r="U26" s="2253"/>
      <c r="V26" s="2253"/>
      <c r="W26" s="2253"/>
    </row>
    <row r="27" spans="1:23" ht="15.75" thickBot="1">
      <c r="A27" s="2100" t="s">
        <v>1558</v>
      </c>
      <c r="B27" s="2137">
        <f>Twist!J7+2.5*Погонаж!C11+5*Погонаж!D11</f>
        <v>36750</v>
      </c>
      <c r="C27" s="2140" t="s">
        <v>3</v>
      </c>
      <c r="D27" s="2141" t="s">
        <v>3</v>
      </c>
      <c r="E27" s="2136" t="s">
        <v>3</v>
      </c>
      <c r="F27" s="2141" t="s">
        <v>3</v>
      </c>
      <c r="G27" s="2142" t="s">
        <v>3</v>
      </c>
      <c r="I27" s="2100" t="s">
        <v>1558</v>
      </c>
      <c r="J27" s="2137">
        <v>34975</v>
      </c>
      <c r="K27" s="2140" t="s">
        <v>3</v>
      </c>
      <c r="L27" s="2141" t="s">
        <v>3</v>
      </c>
      <c r="M27" s="2136" t="s">
        <v>3</v>
      </c>
      <c r="N27" s="2141" t="s">
        <v>3</v>
      </c>
      <c r="O27" s="2142" t="s">
        <v>3</v>
      </c>
      <c r="Q27" s="2100" t="s">
        <v>1558</v>
      </c>
      <c r="R27" s="2253">
        <f t="shared" si="2"/>
        <v>5.0750536097212251E-2</v>
      </c>
      <c r="S27" s="2253"/>
      <c r="T27" s="2253"/>
      <c r="U27" s="2253"/>
      <c r="V27" s="2253"/>
      <c r="W27" s="2253"/>
    </row>
    <row r="28" spans="1:23" ht="15.75" thickBot="1">
      <c r="A28" s="2095" t="s">
        <v>896</v>
      </c>
      <c r="B28" s="2121" t="s">
        <v>3</v>
      </c>
      <c r="C28" s="2143" t="s">
        <v>3</v>
      </c>
      <c r="D28" s="2121">
        <f>Standart!G8+2.5*Погонаж!C12+5*Погонаж!D12</f>
        <v>36565</v>
      </c>
      <c r="E28" s="2120">
        <f>Standart!G9+2.5*Погонаж!C13+5*Погонаж!D13</f>
        <v>39475</v>
      </c>
      <c r="F28" s="2144" t="s">
        <v>3</v>
      </c>
      <c r="G28" s="2123">
        <f>Standart!G10+2.5*Погонаж!C15+5*Погонаж!E15</f>
        <v>42750</v>
      </c>
      <c r="I28" s="2095" t="s">
        <v>896</v>
      </c>
      <c r="J28" s="2121" t="s">
        <v>3</v>
      </c>
      <c r="K28" s="2143" t="s">
        <v>3</v>
      </c>
      <c r="L28" s="2121">
        <v>34870</v>
      </c>
      <c r="M28" s="2120">
        <v>37450</v>
      </c>
      <c r="N28" s="2144" t="s">
        <v>3</v>
      </c>
      <c r="O28" s="2123">
        <v>40875</v>
      </c>
      <c r="Q28" s="2095" t="s">
        <v>896</v>
      </c>
      <c r="R28" s="2253"/>
      <c r="S28" s="2253"/>
      <c r="T28" s="2253">
        <f t="shared" ref="T28:U32" si="7">D28/L28-1</f>
        <v>4.8609119587037508E-2</v>
      </c>
      <c r="U28" s="2253">
        <f t="shared" si="7"/>
        <v>5.4072096128170877E-2</v>
      </c>
      <c r="V28" s="2253"/>
      <c r="W28" s="2253">
        <f>G28/O28-1</f>
        <v>4.587155963302747E-2</v>
      </c>
    </row>
    <row r="29" spans="1:23" ht="15.75" thickBot="1">
      <c r="A29" s="2099" t="s">
        <v>893</v>
      </c>
      <c r="B29" s="2125">
        <f>Standart!H7+2.5*Погонаж!C11+5*Погонаж!D11</f>
        <v>39300</v>
      </c>
      <c r="C29" s="2145" t="s">
        <v>3</v>
      </c>
      <c r="D29" s="2125">
        <f>Standart!H8+2.5*Погонаж!C12+5*Погонаж!D12</f>
        <v>42615</v>
      </c>
      <c r="E29" s="2124">
        <f>Standart!H9+2.5*Погонаж!C13+5*Погонаж!D13</f>
        <v>45525</v>
      </c>
      <c r="F29" s="2128" t="s">
        <v>3</v>
      </c>
      <c r="G29" s="2127">
        <f>Standart!H10+2.5*Погонаж!C15+5*Погонаж!E15</f>
        <v>48800</v>
      </c>
      <c r="I29" s="2250" t="s">
        <v>893</v>
      </c>
      <c r="J29" s="2125">
        <v>37425</v>
      </c>
      <c r="K29" s="2145" t="s">
        <v>3</v>
      </c>
      <c r="L29" s="2125">
        <v>40590</v>
      </c>
      <c r="M29" s="2124">
        <v>43170</v>
      </c>
      <c r="N29" s="2128" t="s">
        <v>3</v>
      </c>
      <c r="O29" s="2127">
        <v>46595</v>
      </c>
      <c r="Q29" s="2250" t="s">
        <v>893</v>
      </c>
      <c r="R29" s="2253">
        <f>B29/J29-1</f>
        <v>5.0100200400801542E-2</v>
      </c>
      <c r="S29" s="2253"/>
      <c r="T29" s="2253">
        <f t="shared" si="7"/>
        <v>4.9889135254988837E-2</v>
      </c>
      <c r="U29" s="2253">
        <f t="shared" si="7"/>
        <v>5.4551772063933246E-2</v>
      </c>
      <c r="V29" s="2253"/>
      <c r="W29" s="2253">
        <f>G29/O29-1</f>
        <v>4.7322674106663909E-2</v>
      </c>
    </row>
    <row r="30" spans="1:23" ht="15.75" thickBot="1">
      <c r="A30" s="2099" t="s">
        <v>894</v>
      </c>
      <c r="B30" s="2128" t="s">
        <v>3</v>
      </c>
      <c r="C30" s="2145" t="s">
        <v>3</v>
      </c>
      <c r="D30" s="2125">
        <f>Standart!I8+2.5*Погонаж!C12+5*Погонаж!D12</f>
        <v>40125</v>
      </c>
      <c r="E30" s="2124">
        <f>Standart!I9+2.5*Погонаж!C13+5*Погонаж!D13</f>
        <v>39475</v>
      </c>
      <c r="F30" s="2128" t="s">
        <v>3</v>
      </c>
      <c r="G30" s="2127">
        <f>Standart!I10+2.5*Погонаж!C15+5*Погонаж!E15</f>
        <v>46740</v>
      </c>
      <c r="I30" s="2250" t="s">
        <v>894</v>
      </c>
      <c r="J30" s="2128" t="s">
        <v>3</v>
      </c>
      <c r="K30" s="2145" t="s">
        <v>3</v>
      </c>
      <c r="L30" s="2125">
        <v>38230</v>
      </c>
      <c r="M30" s="2124">
        <v>37450</v>
      </c>
      <c r="N30" s="2128" t="s">
        <v>3</v>
      </c>
      <c r="O30" s="2127">
        <v>44635</v>
      </c>
      <c r="Q30" s="2250" t="s">
        <v>894</v>
      </c>
      <c r="R30" s="2253"/>
      <c r="S30" s="2253"/>
      <c r="T30" s="2253">
        <f t="shared" si="7"/>
        <v>4.9568401778707916E-2</v>
      </c>
      <c r="U30" s="2253">
        <f t="shared" si="7"/>
        <v>5.4072096128170877E-2</v>
      </c>
      <c r="V30" s="2253"/>
      <c r="W30" s="2253">
        <f>G30/O30-1</f>
        <v>4.7160300212837569E-2</v>
      </c>
    </row>
    <row r="31" spans="1:23" ht="15.75" thickBot="1">
      <c r="A31" s="2099" t="s">
        <v>895</v>
      </c>
      <c r="B31" s="2128" t="s">
        <v>3</v>
      </c>
      <c r="C31" s="2145" t="s">
        <v>3</v>
      </c>
      <c r="D31" s="2125">
        <f>Standart!J8+2.5*Погонаж!C12+5*Погонаж!D12</f>
        <v>40125</v>
      </c>
      <c r="E31" s="2124">
        <f>Standart!J9+2.5*Погонаж!C13+5*Погонаж!D13</f>
        <v>39475</v>
      </c>
      <c r="F31" s="2128" t="s">
        <v>3</v>
      </c>
      <c r="G31" s="2127">
        <f>Standart!J10+2.5*Погонаж!C15+5*Погонаж!E15</f>
        <v>46740</v>
      </c>
      <c r="I31" s="2250" t="s">
        <v>895</v>
      </c>
      <c r="J31" s="2128" t="s">
        <v>3</v>
      </c>
      <c r="K31" s="2145" t="s">
        <v>3</v>
      </c>
      <c r="L31" s="2125">
        <v>38230</v>
      </c>
      <c r="M31" s="2124">
        <v>37450</v>
      </c>
      <c r="N31" s="2128" t="s">
        <v>3</v>
      </c>
      <c r="O31" s="2127">
        <v>44635</v>
      </c>
      <c r="Q31" s="2250" t="s">
        <v>895</v>
      </c>
      <c r="R31" s="2253"/>
      <c r="S31" s="2253"/>
      <c r="T31" s="2253">
        <f t="shared" si="7"/>
        <v>4.9568401778707916E-2</v>
      </c>
      <c r="U31" s="2253">
        <f t="shared" si="7"/>
        <v>5.4072096128170877E-2</v>
      </c>
      <c r="V31" s="2253"/>
      <c r="W31" s="2253">
        <f>G31/O31-1</f>
        <v>4.7160300212837569E-2</v>
      </c>
    </row>
    <row r="32" spans="1:23" ht="15.75" thickBot="1">
      <c r="A32" s="2101" t="s">
        <v>902</v>
      </c>
      <c r="B32" s="2137">
        <f>Standart!K7+2.5*Погонаж!C11+5*Погонаж!D11</f>
        <v>42050</v>
      </c>
      <c r="C32" s="2146" t="s">
        <v>3</v>
      </c>
      <c r="D32" s="2137">
        <f>Standart!K8+2.5*Погонаж!C12+5*Погонаж!D12</f>
        <v>43025</v>
      </c>
      <c r="E32" s="2138">
        <f>Standart!K9+2.5*Погонаж!C13+5*Погонаж!D13</f>
        <v>46425</v>
      </c>
      <c r="F32" s="2141" t="s">
        <v>3</v>
      </c>
      <c r="G32" s="2139">
        <f>Standart!K10+2.5*Погонаж!C15+5*Погонаж!E15</f>
        <v>50330</v>
      </c>
      <c r="I32" s="2101" t="s">
        <v>902</v>
      </c>
      <c r="J32" s="2137">
        <v>40025</v>
      </c>
      <c r="K32" s="2146" t="s">
        <v>3</v>
      </c>
      <c r="L32" s="2137">
        <v>41000</v>
      </c>
      <c r="M32" s="2138">
        <v>44050</v>
      </c>
      <c r="N32" s="2141" t="s">
        <v>3</v>
      </c>
      <c r="O32" s="2139">
        <v>48065</v>
      </c>
      <c r="Q32" s="2101" t="s">
        <v>902</v>
      </c>
      <c r="R32" s="2253">
        <f t="shared" ref="R32:R47" si="8">B32/J32-1</f>
        <v>5.059337913803863E-2</v>
      </c>
      <c r="S32" s="2253"/>
      <c r="T32" s="2253">
        <f t="shared" si="7"/>
        <v>4.9390243902438957E-2</v>
      </c>
      <c r="U32" s="2253">
        <f t="shared" si="7"/>
        <v>5.3916004540295104E-2</v>
      </c>
      <c r="V32" s="2253"/>
      <c r="W32" s="2253">
        <f>G32/O32-1</f>
        <v>4.7123686674295229E-2</v>
      </c>
    </row>
    <row r="33" spans="1:23" ht="15.75" thickBot="1">
      <c r="A33" s="2102" t="s">
        <v>1984</v>
      </c>
      <c r="B33" s="2121">
        <f>Fusion_Plainе!G6+2.5*Погонаж!C11+5*Погонаж!D11</f>
        <v>33600</v>
      </c>
      <c r="C33" s="2083">
        <f>Fusion_Plainе!G7+2.5*Погонаж!C11+5*Погонаж!D11</f>
        <v>40850</v>
      </c>
      <c r="D33" s="2147" t="s">
        <v>3</v>
      </c>
      <c r="E33" s="2143" t="s">
        <v>3</v>
      </c>
      <c r="F33" s="2147" t="s">
        <v>3</v>
      </c>
      <c r="G33" s="2148" t="s">
        <v>3</v>
      </c>
      <c r="I33" s="2102" t="s">
        <v>1984</v>
      </c>
      <c r="J33" s="2121">
        <v>31975</v>
      </c>
      <c r="K33" s="2083">
        <v>38925</v>
      </c>
      <c r="L33" s="2147" t="s">
        <v>3</v>
      </c>
      <c r="M33" s="2143" t="s">
        <v>3</v>
      </c>
      <c r="N33" s="2147" t="s">
        <v>3</v>
      </c>
      <c r="O33" s="2148" t="s">
        <v>3</v>
      </c>
      <c r="Q33" s="2102" t="s">
        <v>1984</v>
      </c>
      <c r="R33" s="2253">
        <f t="shared" si="8"/>
        <v>5.0820953870211127E-2</v>
      </c>
      <c r="S33" s="2253">
        <f t="shared" ref="S33:S40" si="9">C33/K33-1</f>
        <v>4.9454078355812392E-2</v>
      </c>
      <c r="T33" s="2253"/>
      <c r="U33" s="2253"/>
      <c r="V33" s="2253"/>
      <c r="W33" s="2253"/>
    </row>
    <row r="34" spans="1:23" ht="15.75" thickBot="1">
      <c r="A34" s="2103" t="s">
        <v>1714</v>
      </c>
      <c r="B34" s="2125">
        <f>Fusion_Plainе!H6+2.5*Погонаж!C11+5*Погонаж!D11</f>
        <v>33600</v>
      </c>
      <c r="C34" s="2082">
        <f>Fusion_Plainе!H7+2.5*Погонаж!C11+5*Погонаж!D11</f>
        <v>40850</v>
      </c>
      <c r="D34" s="1155" t="s">
        <v>3</v>
      </c>
      <c r="E34" s="2145" t="s">
        <v>3</v>
      </c>
      <c r="F34" s="1155" t="s">
        <v>3</v>
      </c>
      <c r="G34" s="2149" t="s">
        <v>3</v>
      </c>
      <c r="I34" s="2251" t="s">
        <v>1714</v>
      </c>
      <c r="J34" s="2125">
        <v>31975</v>
      </c>
      <c r="K34" s="2082">
        <v>38925</v>
      </c>
      <c r="L34" s="1155" t="s">
        <v>3</v>
      </c>
      <c r="M34" s="2145" t="s">
        <v>3</v>
      </c>
      <c r="N34" s="1155" t="s">
        <v>3</v>
      </c>
      <c r="O34" s="2149" t="s">
        <v>3</v>
      </c>
      <c r="Q34" s="2251" t="s">
        <v>1714</v>
      </c>
      <c r="R34" s="2253">
        <f t="shared" si="8"/>
        <v>5.0820953870211127E-2</v>
      </c>
      <c r="S34" s="2253">
        <f t="shared" si="9"/>
        <v>4.9454078355812392E-2</v>
      </c>
      <c r="T34" s="2253"/>
      <c r="U34" s="2253"/>
      <c r="V34" s="2253"/>
      <c r="W34" s="2253"/>
    </row>
    <row r="35" spans="1:23" ht="15.75" thickBot="1">
      <c r="A35" s="2103" t="s">
        <v>2010</v>
      </c>
      <c r="B35" s="2125">
        <f>Fusion_Plainе!I6+2.5*Погонаж!C11+5*Погонаж!D11</f>
        <v>33600</v>
      </c>
      <c r="C35" s="2082">
        <f>Fusion_Plainе!I7+2.5*Погонаж!C11+5*Погонаж!D11</f>
        <v>40850</v>
      </c>
      <c r="D35" s="1155" t="s">
        <v>3</v>
      </c>
      <c r="E35" s="2145" t="s">
        <v>3</v>
      </c>
      <c r="F35" s="1155" t="s">
        <v>3</v>
      </c>
      <c r="G35" s="2149" t="s">
        <v>3</v>
      </c>
      <c r="I35" s="2251" t="s">
        <v>2010</v>
      </c>
      <c r="J35" s="2125">
        <v>31975</v>
      </c>
      <c r="K35" s="2082">
        <v>38925</v>
      </c>
      <c r="L35" s="1155" t="s">
        <v>3</v>
      </c>
      <c r="M35" s="2145" t="s">
        <v>3</v>
      </c>
      <c r="N35" s="1155" t="s">
        <v>3</v>
      </c>
      <c r="O35" s="2149" t="s">
        <v>3</v>
      </c>
      <c r="Q35" s="2251" t="s">
        <v>2010</v>
      </c>
      <c r="R35" s="2253">
        <f t="shared" si="8"/>
        <v>5.0820953870211127E-2</v>
      </c>
      <c r="S35" s="2253">
        <f t="shared" si="9"/>
        <v>4.9454078355812392E-2</v>
      </c>
      <c r="T35" s="2253"/>
      <c r="U35" s="2253"/>
      <c r="V35" s="2253"/>
      <c r="W35" s="2253"/>
    </row>
    <row r="36" spans="1:23" ht="15.75" thickBot="1">
      <c r="A36" s="2103" t="s">
        <v>2011</v>
      </c>
      <c r="B36" s="2137">
        <f>Fusion_Plainе!J6+2.5*Погонаж!C11+5*Погонаж!D11</f>
        <v>33600</v>
      </c>
      <c r="C36" s="2086">
        <f>Fusion_Plainе!J7+2.5*Погонаж!C11+5*Погонаж!D11</f>
        <v>40850</v>
      </c>
      <c r="D36" s="2150" t="s">
        <v>3</v>
      </c>
      <c r="E36" s="2146" t="s">
        <v>3</v>
      </c>
      <c r="F36" s="2150" t="s">
        <v>3</v>
      </c>
      <c r="G36" s="2151" t="s">
        <v>3</v>
      </c>
      <c r="I36" s="2251" t="s">
        <v>2011</v>
      </c>
      <c r="J36" s="2137">
        <v>31975</v>
      </c>
      <c r="K36" s="2086">
        <v>38925</v>
      </c>
      <c r="L36" s="2150" t="s">
        <v>3</v>
      </c>
      <c r="M36" s="2146" t="s">
        <v>3</v>
      </c>
      <c r="N36" s="2150" t="s">
        <v>3</v>
      </c>
      <c r="O36" s="2151" t="s">
        <v>3</v>
      </c>
      <c r="Q36" s="2251" t="s">
        <v>2011</v>
      </c>
      <c r="R36" s="2253">
        <f t="shared" si="8"/>
        <v>5.0820953870211127E-2</v>
      </c>
      <c r="S36" s="2253">
        <f t="shared" si="9"/>
        <v>4.9454078355812392E-2</v>
      </c>
      <c r="T36" s="2253"/>
      <c r="U36" s="2253"/>
      <c r="V36" s="2253"/>
      <c r="W36" s="2253"/>
    </row>
    <row r="37" spans="1:23" ht="15.75" thickBot="1">
      <c r="A37" s="2102" t="s">
        <v>1985</v>
      </c>
      <c r="B37" s="2121">
        <f>Fusion!G7+2.5*Погонаж!C11+5*Погонаж!D11</f>
        <v>34750</v>
      </c>
      <c r="C37" s="2083">
        <f>Fusion!G8+2.5*Погонаж!C11+5*Погонаж!D11</f>
        <v>42000</v>
      </c>
      <c r="D37" s="2147" t="s">
        <v>3</v>
      </c>
      <c r="E37" s="2143" t="s">
        <v>3</v>
      </c>
      <c r="F37" s="2147" t="s">
        <v>3</v>
      </c>
      <c r="G37" s="2148" t="s">
        <v>3</v>
      </c>
      <c r="I37" s="2102" t="s">
        <v>1985</v>
      </c>
      <c r="J37" s="2121">
        <v>33025</v>
      </c>
      <c r="K37" s="2083">
        <v>39975</v>
      </c>
      <c r="L37" s="2147" t="s">
        <v>3</v>
      </c>
      <c r="M37" s="2143" t="s">
        <v>3</v>
      </c>
      <c r="N37" s="2147" t="s">
        <v>3</v>
      </c>
      <c r="O37" s="2148" t="s">
        <v>3</v>
      </c>
      <c r="Q37" s="2102" t="s">
        <v>1985</v>
      </c>
      <c r="R37" s="2253">
        <f t="shared" si="8"/>
        <v>5.223315669947004E-2</v>
      </c>
      <c r="S37" s="2253">
        <f t="shared" si="9"/>
        <v>5.065666041275807E-2</v>
      </c>
      <c r="T37" s="2253"/>
      <c r="U37" s="2253"/>
      <c r="V37" s="2253"/>
      <c r="W37" s="2253"/>
    </row>
    <row r="38" spans="1:23" ht="15.75" thickBot="1">
      <c r="A38" s="2099" t="s">
        <v>1544</v>
      </c>
      <c r="B38" s="2125">
        <f>Fusion!H7+2.5*Погонаж!C11+5*Погонаж!D11</f>
        <v>34750</v>
      </c>
      <c r="C38" s="2124">
        <f>Fusion!H8+2.5*Погонаж!C11+5*Погонаж!D11</f>
        <v>42000</v>
      </c>
      <c r="D38" s="1155" t="s">
        <v>3</v>
      </c>
      <c r="E38" s="2145" t="s">
        <v>3</v>
      </c>
      <c r="F38" s="1155" t="s">
        <v>3</v>
      </c>
      <c r="G38" s="2149" t="s">
        <v>3</v>
      </c>
      <c r="I38" s="2250" t="s">
        <v>1544</v>
      </c>
      <c r="J38" s="2125">
        <v>33025</v>
      </c>
      <c r="K38" s="2124">
        <v>39975</v>
      </c>
      <c r="L38" s="1155" t="s">
        <v>3</v>
      </c>
      <c r="M38" s="2145" t="s">
        <v>3</v>
      </c>
      <c r="N38" s="1155" t="s">
        <v>3</v>
      </c>
      <c r="O38" s="2149" t="s">
        <v>3</v>
      </c>
      <c r="Q38" s="2250" t="s">
        <v>1544</v>
      </c>
      <c r="R38" s="2253">
        <f t="shared" si="8"/>
        <v>5.223315669947004E-2</v>
      </c>
      <c r="S38" s="2253">
        <f t="shared" si="9"/>
        <v>5.065666041275807E-2</v>
      </c>
      <c r="T38" s="2253"/>
      <c r="U38" s="2253"/>
      <c r="V38" s="2253"/>
      <c r="W38" s="2253"/>
    </row>
    <row r="39" spans="1:23" ht="15" customHeight="1" thickBot="1">
      <c r="A39" s="2099" t="s">
        <v>1199</v>
      </c>
      <c r="B39" s="2125">
        <f>Fusion!I7+2.5*Погонаж!C11+5*Погонаж!D11</f>
        <v>34750</v>
      </c>
      <c r="C39" s="2124">
        <f>Fusion!I8+2.5*Погонаж!C11+5*Погонаж!D11</f>
        <v>42000</v>
      </c>
      <c r="D39" s="1155" t="s">
        <v>3</v>
      </c>
      <c r="E39" s="2145" t="s">
        <v>3</v>
      </c>
      <c r="F39" s="1155" t="s">
        <v>3</v>
      </c>
      <c r="G39" s="2149" t="s">
        <v>3</v>
      </c>
      <c r="I39" s="2250" t="s">
        <v>1199</v>
      </c>
      <c r="J39" s="2125">
        <v>33025</v>
      </c>
      <c r="K39" s="2124">
        <v>39975</v>
      </c>
      <c r="L39" s="1155" t="s">
        <v>3</v>
      </c>
      <c r="M39" s="2145" t="s">
        <v>3</v>
      </c>
      <c r="N39" s="1155" t="s">
        <v>3</v>
      </c>
      <c r="O39" s="2149" t="s">
        <v>3</v>
      </c>
      <c r="Q39" s="2250" t="s">
        <v>1199</v>
      </c>
      <c r="R39" s="2253">
        <f t="shared" si="8"/>
        <v>5.223315669947004E-2</v>
      </c>
      <c r="S39" s="2253">
        <f t="shared" si="9"/>
        <v>5.065666041275807E-2</v>
      </c>
      <c r="T39" s="2253"/>
      <c r="U39" s="2253"/>
      <c r="V39" s="2253"/>
      <c r="W39" s="2253"/>
    </row>
    <row r="40" spans="1:23" ht="15.75" thickBot="1">
      <c r="A40" s="2099" t="s">
        <v>1986</v>
      </c>
      <c r="B40" s="2125">
        <f>Fusion!J7+2.5*Погонаж!C11+5*Погонаж!D11</f>
        <v>34750</v>
      </c>
      <c r="C40" s="2124">
        <f>Fusion!J8+2.5*Погонаж!C11+5*Погонаж!D11</f>
        <v>42000</v>
      </c>
      <c r="D40" s="1155" t="s">
        <v>3</v>
      </c>
      <c r="E40" s="2145" t="s">
        <v>3</v>
      </c>
      <c r="F40" s="1155" t="s">
        <v>3</v>
      </c>
      <c r="G40" s="2149" t="s">
        <v>3</v>
      </c>
      <c r="I40" s="2250" t="s">
        <v>1986</v>
      </c>
      <c r="J40" s="2125">
        <v>33025</v>
      </c>
      <c r="K40" s="2124">
        <v>39975</v>
      </c>
      <c r="L40" s="1155" t="s">
        <v>3</v>
      </c>
      <c r="M40" s="2145" t="s">
        <v>3</v>
      </c>
      <c r="N40" s="1155" t="s">
        <v>3</v>
      </c>
      <c r="O40" s="2149" t="s">
        <v>3</v>
      </c>
      <c r="Q40" s="2250" t="s">
        <v>1986</v>
      </c>
      <c r="R40" s="2253">
        <f t="shared" si="8"/>
        <v>5.223315669947004E-2</v>
      </c>
      <c r="S40" s="2253">
        <f t="shared" si="9"/>
        <v>5.065666041275807E-2</v>
      </c>
      <c r="T40" s="2253"/>
      <c r="U40" s="2253"/>
      <c r="V40" s="2253"/>
      <c r="W40" s="2253"/>
    </row>
    <row r="41" spans="1:23" ht="15.75" thickBot="1">
      <c r="A41" s="2099" t="s">
        <v>889</v>
      </c>
      <c r="B41" s="2125">
        <f>Fusion!M7+2.5*Погонаж!C11+5*Погонаж!D11</f>
        <v>34750</v>
      </c>
      <c r="C41" s="2126" t="s">
        <v>3</v>
      </c>
      <c r="D41" s="1155" t="s">
        <v>3</v>
      </c>
      <c r="E41" s="2145" t="s">
        <v>3</v>
      </c>
      <c r="F41" s="1155" t="s">
        <v>3</v>
      </c>
      <c r="G41" s="2149" t="s">
        <v>3</v>
      </c>
      <c r="I41" s="2250" t="s">
        <v>889</v>
      </c>
      <c r="J41" s="2125">
        <v>33025</v>
      </c>
      <c r="K41" s="2126" t="s">
        <v>3</v>
      </c>
      <c r="L41" s="1155" t="s">
        <v>3</v>
      </c>
      <c r="M41" s="2145" t="s">
        <v>3</v>
      </c>
      <c r="N41" s="1155" t="s">
        <v>3</v>
      </c>
      <c r="O41" s="2149" t="s">
        <v>3</v>
      </c>
      <c r="Q41" s="2250" t="s">
        <v>889</v>
      </c>
      <c r="R41" s="2253">
        <f t="shared" si="8"/>
        <v>5.223315669947004E-2</v>
      </c>
      <c r="S41" s="2253"/>
      <c r="T41" s="2253"/>
      <c r="U41" s="2253"/>
      <c r="V41" s="2253"/>
      <c r="W41" s="2253"/>
    </row>
    <row r="42" spans="1:23" ht="15.75" thickBot="1">
      <c r="A42" s="2100" t="s">
        <v>890</v>
      </c>
      <c r="B42" s="2137">
        <f>Fusion!N7+2.5*Погонаж!C11+5*Погонаж!D11</f>
        <v>34750</v>
      </c>
      <c r="C42" s="2136" t="s">
        <v>3</v>
      </c>
      <c r="D42" s="2150" t="s">
        <v>3</v>
      </c>
      <c r="E42" s="2146" t="s">
        <v>3</v>
      </c>
      <c r="F42" s="2150" t="s">
        <v>3</v>
      </c>
      <c r="G42" s="2151" t="s">
        <v>3</v>
      </c>
      <c r="I42" s="2100" t="s">
        <v>890</v>
      </c>
      <c r="J42" s="2137">
        <v>33025</v>
      </c>
      <c r="K42" s="2136" t="s">
        <v>3</v>
      </c>
      <c r="L42" s="2150" t="s">
        <v>3</v>
      </c>
      <c r="M42" s="2146" t="s">
        <v>3</v>
      </c>
      <c r="N42" s="2150" t="s">
        <v>3</v>
      </c>
      <c r="O42" s="2151" t="s">
        <v>3</v>
      </c>
      <c r="Q42" s="2100" t="s">
        <v>890</v>
      </c>
      <c r="R42" s="2253">
        <f t="shared" si="8"/>
        <v>5.223315669947004E-2</v>
      </c>
      <c r="S42" s="2253"/>
      <c r="T42" s="2253"/>
      <c r="U42" s="2253"/>
      <c r="V42" s="2253"/>
      <c r="W42" s="2253"/>
    </row>
    <row r="43" spans="1:23" ht="15.75" thickBot="1">
      <c r="A43" s="2104" t="s">
        <v>2012</v>
      </c>
      <c r="B43" s="2153">
        <f>Eclectica_Stripe!G7+2.5*Погонаж!C11+5*Погонаж!D11</f>
        <v>36750</v>
      </c>
      <c r="C43" s="2152" t="s">
        <v>3</v>
      </c>
      <c r="D43" s="2154" t="s">
        <v>3</v>
      </c>
      <c r="E43" s="2155" t="s">
        <v>3</v>
      </c>
      <c r="F43" s="2154" t="s">
        <v>3</v>
      </c>
      <c r="G43" s="2156" t="s">
        <v>3</v>
      </c>
      <c r="I43" s="2104" t="s">
        <v>2012</v>
      </c>
      <c r="J43" s="2153">
        <v>34975</v>
      </c>
      <c r="K43" s="2152" t="s">
        <v>3</v>
      </c>
      <c r="L43" s="2154" t="s">
        <v>3</v>
      </c>
      <c r="M43" s="2155" t="s">
        <v>3</v>
      </c>
      <c r="N43" s="2154" t="s">
        <v>3</v>
      </c>
      <c r="O43" s="2156" t="s">
        <v>3</v>
      </c>
      <c r="Q43" s="2104" t="s">
        <v>2012</v>
      </c>
      <c r="R43" s="2253">
        <f t="shared" si="8"/>
        <v>5.0750536097212251E-2</v>
      </c>
      <c r="S43" s="2253"/>
      <c r="T43" s="2253"/>
      <c r="U43" s="2253"/>
      <c r="V43" s="2253"/>
      <c r="W43" s="2253"/>
    </row>
    <row r="44" spans="1:23" ht="15.75" thickBot="1">
      <c r="A44" s="2104" t="s">
        <v>2013</v>
      </c>
      <c r="B44" s="2153">
        <f>Elegance!G6+2.5*Погонаж!C11+5*Погонаж!D11</f>
        <v>40850</v>
      </c>
      <c r="C44" s="2152" t="s">
        <v>3</v>
      </c>
      <c r="D44" s="2154" t="s">
        <v>3</v>
      </c>
      <c r="E44" s="2155" t="s">
        <v>3</v>
      </c>
      <c r="F44" s="2154" t="s">
        <v>3</v>
      </c>
      <c r="G44" s="2156" t="s">
        <v>3</v>
      </c>
      <c r="I44" s="2104" t="s">
        <v>2013</v>
      </c>
      <c r="J44" s="2153">
        <v>38925</v>
      </c>
      <c r="K44" s="2152" t="s">
        <v>3</v>
      </c>
      <c r="L44" s="2154" t="s">
        <v>3</v>
      </c>
      <c r="M44" s="2155" t="s">
        <v>3</v>
      </c>
      <c r="N44" s="2154" t="s">
        <v>3</v>
      </c>
      <c r="O44" s="2156" t="s">
        <v>3</v>
      </c>
      <c r="Q44" s="2104" t="s">
        <v>2013</v>
      </c>
      <c r="R44" s="2253">
        <f t="shared" si="8"/>
        <v>4.9454078355812392E-2</v>
      </c>
      <c r="S44" s="2253"/>
      <c r="T44" s="2253"/>
      <c r="U44" s="2253"/>
      <c r="V44" s="2253"/>
      <c r="W44" s="2253"/>
    </row>
    <row r="45" spans="1:23" ht="15.75" thickBot="1">
      <c r="A45" s="2104" t="s">
        <v>2014</v>
      </c>
      <c r="B45" s="2153">
        <f>'Modern Turin'!G7+2.5*Погонаж!C11+5*Погонаж!D11</f>
        <v>47100</v>
      </c>
      <c r="C45" s="2152" t="s">
        <v>3</v>
      </c>
      <c r="D45" s="2154" t="s">
        <v>3</v>
      </c>
      <c r="E45" s="2155" t="s">
        <v>3</v>
      </c>
      <c r="F45" s="2154" t="s">
        <v>3</v>
      </c>
      <c r="G45" s="2156" t="s">
        <v>3</v>
      </c>
      <c r="I45" s="2104" t="s">
        <v>2014</v>
      </c>
      <c r="J45" s="2153">
        <v>44865</v>
      </c>
      <c r="K45" s="2152" t="s">
        <v>3</v>
      </c>
      <c r="L45" s="2154" t="s">
        <v>3</v>
      </c>
      <c r="M45" s="2155" t="s">
        <v>3</v>
      </c>
      <c r="N45" s="2154" t="s">
        <v>3</v>
      </c>
      <c r="O45" s="2156" t="s">
        <v>3</v>
      </c>
      <c r="Q45" s="2104" t="s">
        <v>2014</v>
      </c>
      <c r="R45" s="2253">
        <f t="shared" si="8"/>
        <v>4.98161150117018E-2</v>
      </c>
      <c r="S45" s="2253"/>
      <c r="T45" s="2253"/>
      <c r="U45" s="2253"/>
      <c r="V45" s="2253"/>
      <c r="W45" s="2253"/>
    </row>
    <row r="46" spans="1:23" ht="15.75" thickBot="1">
      <c r="A46" s="2104" t="s">
        <v>2015</v>
      </c>
      <c r="B46" s="2153">
        <f>'Modern Turin'!G7+2.5*Погонаж!C11+5*Погонаж!D11</f>
        <v>47100</v>
      </c>
      <c r="C46" s="2152" t="s">
        <v>3</v>
      </c>
      <c r="D46" s="2154" t="s">
        <v>3</v>
      </c>
      <c r="E46" s="2155" t="s">
        <v>3</v>
      </c>
      <c r="F46" s="2154" t="s">
        <v>3</v>
      </c>
      <c r="G46" s="2156" t="s">
        <v>3</v>
      </c>
      <c r="I46" s="2104" t="s">
        <v>2015</v>
      </c>
      <c r="J46" s="2153">
        <v>44865</v>
      </c>
      <c r="K46" s="2152" t="s">
        <v>3</v>
      </c>
      <c r="L46" s="2154" t="s">
        <v>3</v>
      </c>
      <c r="M46" s="2155" t="s">
        <v>3</v>
      </c>
      <c r="N46" s="2154" t="s">
        <v>3</v>
      </c>
      <c r="O46" s="2156" t="s">
        <v>3</v>
      </c>
      <c r="Q46" s="2104" t="s">
        <v>2015</v>
      </c>
      <c r="R46" s="2253">
        <f t="shared" si="8"/>
        <v>4.98161150117018E-2</v>
      </c>
      <c r="S46" s="2253"/>
      <c r="T46" s="2253"/>
      <c r="U46" s="2253"/>
      <c r="V46" s="2253"/>
      <c r="W46" s="2253"/>
    </row>
    <row r="47" spans="1:23" ht="15.75" thickBot="1">
      <c r="A47" s="2105" t="s">
        <v>2016</v>
      </c>
      <c r="B47" s="2158">
        <f>Eclectica_Belluno!G6+2.5*Погонаж!C11+5*Погонаж!D11</f>
        <v>48800</v>
      </c>
      <c r="C47" s="2157" t="s">
        <v>3</v>
      </c>
      <c r="D47" s="2159" t="s">
        <v>3</v>
      </c>
      <c r="E47" s="2160" t="s">
        <v>3</v>
      </c>
      <c r="F47" s="2159" t="s">
        <v>3</v>
      </c>
      <c r="G47" s="2161" t="s">
        <v>3</v>
      </c>
      <c r="I47" s="2105" t="s">
        <v>2016</v>
      </c>
      <c r="J47" s="2158">
        <v>46455</v>
      </c>
      <c r="K47" s="2157" t="s">
        <v>3</v>
      </c>
      <c r="L47" s="2159" t="s">
        <v>3</v>
      </c>
      <c r="M47" s="2160" t="s">
        <v>3</v>
      </c>
      <c r="N47" s="2159" t="s">
        <v>3</v>
      </c>
      <c r="O47" s="2161" t="s">
        <v>3</v>
      </c>
      <c r="Q47" s="2105" t="s">
        <v>2016</v>
      </c>
      <c r="R47" s="2253">
        <f t="shared" si="8"/>
        <v>5.0478958131525031E-2</v>
      </c>
      <c r="S47" s="2253"/>
      <c r="T47" s="2253"/>
      <c r="U47" s="2253"/>
      <c r="V47" s="2253"/>
      <c r="W47" s="2253"/>
    </row>
    <row r="48" spans="1:23" ht="15.75" thickBot="1">
      <c r="A48" s="2098" t="s">
        <v>700</v>
      </c>
      <c r="B48" s="2144" t="s">
        <v>3</v>
      </c>
      <c r="C48" s="2122" t="s">
        <v>3</v>
      </c>
      <c r="D48" s="2088">
        <f>Neoclassic!G6+2.5*Погонаж!C12+5*Погонаж!D12</f>
        <v>39025</v>
      </c>
      <c r="E48" s="2083">
        <f>Neoclassic!G7+2.5*Погонаж!C13+5*Погонаж!D13</f>
        <v>42125</v>
      </c>
      <c r="F48" s="2147" t="s">
        <v>3</v>
      </c>
      <c r="G48" s="2084">
        <f>Neoclassic!G8+2.5*Погонаж!C15+5*Погонаж!E15</f>
        <v>45640</v>
      </c>
      <c r="H48" s="2081"/>
      <c r="I48" s="2098" t="s">
        <v>700</v>
      </c>
      <c r="J48" s="2144" t="s">
        <v>3</v>
      </c>
      <c r="K48" s="2122" t="s">
        <v>3</v>
      </c>
      <c r="L48" s="2088">
        <v>37190</v>
      </c>
      <c r="M48" s="2083">
        <v>39950</v>
      </c>
      <c r="N48" s="2147" t="s">
        <v>3</v>
      </c>
      <c r="O48" s="2084">
        <v>43595</v>
      </c>
      <c r="Q48" s="2098" t="s">
        <v>700</v>
      </c>
      <c r="R48" s="2253"/>
      <c r="S48" s="2253"/>
      <c r="T48" s="2253">
        <f t="shared" ref="T48:U52" si="10">D48/L48-1</f>
        <v>4.9341220758268411E-2</v>
      </c>
      <c r="U48" s="2253">
        <f t="shared" si="10"/>
        <v>5.4443053817271547E-2</v>
      </c>
      <c r="V48" s="2253"/>
      <c r="W48" s="2253">
        <f>G48/O48-1</f>
        <v>4.6909049202890296E-2</v>
      </c>
    </row>
    <row r="49" spans="1:23" ht="15.75" thickBot="1">
      <c r="A49" s="2099" t="s">
        <v>1987</v>
      </c>
      <c r="B49" s="2128" t="s">
        <v>3</v>
      </c>
      <c r="C49" s="2126" t="s">
        <v>3</v>
      </c>
      <c r="D49" s="2089">
        <f>Neoclassic!H6+2.5*Погонаж!C12+5*Погонаж!D12</f>
        <v>39025</v>
      </c>
      <c r="E49" s="2082">
        <f>Neoclassic!H7+2.5*Погонаж!C13+5*Погонаж!D13</f>
        <v>42125</v>
      </c>
      <c r="F49" s="1155" t="s">
        <v>3</v>
      </c>
      <c r="G49" s="2085">
        <f>Neoclassic!G8+2.5*Погонаж!C15+5*Погонаж!E15</f>
        <v>45640</v>
      </c>
      <c r="H49" s="2081"/>
      <c r="I49" s="2250" t="s">
        <v>1987</v>
      </c>
      <c r="J49" s="2128" t="s">
        <v>3</v>
      </c>
      <c r="K49" s="2126" t="s">
        <v>3</v>
      </c>
      <c r="L49" s="2089">
        <v>37190</v>
      </c>
      <c r="M49" s="2082">
        <v>39950</v>
      </c>
      <c r="N49" s="1155" t="s">
        <v>3</v>
      </c>
      <c r="O49" s="2085">
        <v>43595</v>
      </c>
      <c r="Q49" s="2250" t="s">
        <v>1987</v>
      </c>
      <c r="R49" s="2253"/>
      <c r="S49" s="2253"/>
      <c r="T49" s="2253">
        <f t="shared" si="10"/>
        <v>4.9341220758268411E-2</v>
      </c>
      <c r="U49" s="2253">
        <f t="shared" si="10"/>
        <v>5.4443053817271547E-2</v>
      </c>
      <c r="V49" s="2253"/>
      <c r="W49" s="2253">
        <f>G49/O49-1</f>
        <v>4.6909049202890296E-2</v>
      </c>
    </row>
    <row r="50" spans="1:23" ht="15.75" thickBot="1">
      <c r="A50" s="2099" t="s">
        <v>1048</v>
      </c>
      <c r="B50" s="2128" t="s">
        <v>3</v>
      </c>
      <c r="C50" s="2126" t="s">
        <v>3</v>
      </c>
      <c r="D50" s="2089">
        <f>Neoclassic!I6+2.5*Погонаж!C12+5*Погонаж!D12</f>
        <v>39025</v>
      </c>
      <c r="E50" s="2082">
        <f>Neoclassic!I7+2.5*Погонаж!C13+5*Погонаж!D13</f>
        <v>42125</v>
      </c>
      <c r="F50" s="1155" t="s">
        <v>3</v>
      </c>
      <c r="G50" s="2085">
        <f>Neoclassic!I8+2.5*Погонаж!C15+5*Погонаж!E15</f>
        <v>45640</v>
      </c>
      <c r="H50" s="2081"/>
      <c r="I50" s="2250" t="s">
        <v>1048</v>
      </c>
      <c r="J50" s="2128" t="s">
        <v>3</v>
      </c>
      <c r="K50" s="2126" t="s">
        <v>3</v>
      </c>
      <c r="L50" s="2089">
        <v>37190</v>
      </c>
      <c r="M50" s="2082">
        <v>39950</v>
      </c>
      <c r="N50" s="1155" t="s">
        <v>3</v>
      </c>
      <c r="O50" s="2085">
        <v>43595</v>
      </c>
      <c r="Q50" s="2250" t="s">
        <v>1048</v>
      </c>
      <c r="R50" s="2253"/>
      <c r="S50" s="2253"/>
      <c r="T50" s="2253">
        <f t="shared" si="10"/>
        <v>4.9341220758268411E-2</v>
      </c>
      <c r="U50" s="2253">
        <f t="shared" si="10"/>
        <v>5.4443053817271547E-2</v>
      </c>
      <c r="V50" s="2253"/>
      <c r="W50" s="2253">
        <f>G50/O50-1</f>
        <v>4.6909049202890296E-2</v>
      </c>
    </row>
    <row r="51" spans="1:23" ht="15.75" thickBot="1">
      <c r="A51" s="2099" t="s">
        <v>1988</v>
      </c>
      <c r="B51" s="2128" t="s">
        <v>3</v>
      </c>
      <c r="C51" s="2126" t="s">
        <v>3</v>
      </c>
      <c r="D51" s="2089">
        <f>Neoclassic!L6+2.5*Погонаж!C12+5*Погонаж!D12</f>
        <v>39025</v>
      </c>
      <c r="E51" s="2082">
        <f>Neoclassic!L7+2.5*Погонаж!C13+5*Погонаж!D13</f>
        <v>42125</v>
      </c>
      <c r="F51" s="1155" t="s">
        <v>3</v>
      </c>
      <c r="G51" s="2085">
        <f>Neoclassic!L8+2.5*Погонаж!C15+5*Погонаж!E15</f>
        <v>45640</v>
      </c>
      <c r="H51" s="2081"/>
      <c r="I51" s="2250" t="s">
        <v>1988</v>
      </c>
      <c r="J51" s="2128" t="s">
        <v>3</v>
      </c>
      <c r="K51" s="2126" t="s">
        <v>3</v>
      </c>
      <c r="L51" s="2089">
        <v>37190</v>
      </c>
      <c r="M51" s="2082">
        <v>39950</v>
      </c>
      <c r="N51" s="1155" t="s">
        <v>3</v>
      </c>
      <c r="O51" s="2085">
        <v>43595</v>
      </c>
      <c r="Q51" s="2250" t="s">
        <v>1988</v>
      </c>
      <c r="R51" s="2253"/>
      <c r="S51" s="2253"/>
      <c r="T51" s="2253">
        <f t="shared" si="10"/>
        <v>4.9341220758268411E-2</v>
      </c>
      <c r="U51" s="2253">
        <f t="shared" si="10"/>
        <v>5.4443053817271547E-2</v>
      </c>
      <c r="V51" s="2253"/>
      <c r="W51" s="2253">
        <f>G51/O51-1</f>
        <v>4.6909049202890296E-2</v>
      </c>
    </row>
    <row r="52" spans="1:23" ht="15.75" thickBot="1">
      <c r="A52" s="2100" t="s">
        <v>701</v>
      </c>
      <c r="B52" s="2141" t="s">
        <v>3</v>
      </c>
      <c r="C52" s="2136" t="s">
        <v>3</v>
      </c>
      <c r="D52" s="2090">
        <f>Neoclassic!O6+2.5*Погонаж!C12+5*Погонаж!D12</f>
        <v>44725</v>
      </c>
      <c r="E52" s="2086">
        <f>Neoclassic!O7+2.5*Погонаж!C13+5*Погонаж!D13</f>
        <v>47825</v>
      </c>
      <c r="F52" s="2150" t="s">
        <v>3</v>
      </c>
      <c r="G52" s="2087">
        <f>Neoclassic!O8+2.5*Погонаж!C15+5*Погонаж!E15</f>
        <v>51340</v>
      </c>
      <c r="H52" s="2081"/>
      <c r="I52" s="2100" t="s">
        <v>701</v>
      </c>
      <c r="J52" s="2141" t="s">
        <v>3</v>
      </c>
      <c r="K52" s="2136" t="s">
        <v>3</v>
      </c>
      <c r="L52" s="2090">
        <v>42610</v>
      </c>
      <c r="M52" s="2086">
        <v>45370</v>
      </c>
      <c r="N52" s="2150" t="s">
        <v>3</v>
      </c>
      <c r="O52" s="2087">
        <v>49015</v>
      </c>
      <c r="Q52" s="2100" t="s">
        <v>701</v>
      </c>
      <c r="R52" s="2253"/>
      <c r="S52" s="2253"/>
      <c r="T52" s="2253">
        <f t="shared" si="10"/>
        <v>4.9636235625440062E-2</v>
      </c>
      <c r="U52" s="2253">
        <f t="shared" si="10"/>
        <v>5.4110645801190183E-2</v>
      </c>
      <c r="V52" s="2253"/>
      <c r="W52" s="2253">
        <f>G52/O52-1</f>
        <v>4.7434458839130889E-2</v>
      </c>
    </row>
    <row r="53" spans="1:23" ht="15.75" thickBot="1">
      <c r="A53" s="2102" t="s">
        <v>706</v>
      </c>
      <c r="B53" s="2121">
        <f>'Provеnce Sienna'!G7+2.5*Погонаж!C11+5*Погонаж!D11</f>
        <v>40850</v>
      </c>
      <c r="C53" s="2122" t="s">
        <v>3</v>
      </c>
      <c r="D53" s="2144" t="s">
        <v>3</v>
      </c>
      <c r="E53" s="2122" t="s">
        <v>3</v>
      </c>
      <c r="F53" s="2144" t="s">
        <v>3</v>
      </c>
      <c r="G53" s="2162" t="s">
        <v>3</v>
      </c>
      <c r="H53" s="669"/>
      <c r="I53" s="2102" t="s">
        <v>706</v>
      </c>
      <c r="J53" s="2121">
        <v>38925</v>
      </c>
      <c r="K53" s="2122" t="s">
        <v>3</v>
      </c>
      <c r="L53" s="2144" t="s">
        <v>3</v>
      </c>
      <c r="M53" s="2122" t="s">
        <v>3</v>
      </c>
      <c r="N53" s="2144" t="s">
        <v>3</v>
      </c>
      <c r="O53" s="2162" t="s">
        <v>3</v>
      </c>
      <c r="Q53" s="2102" t="s">
        <v>706</v>
      </c>
      <c r="R53" s="2253">
        <f t="shared" ref="R53:R61" si="11">B53/J53-1</f>
        <v>4.9454078355812392E-2</v>
      </c>
      <c r="S53" s="2253"/>
      <c r="T53" s="2253"/>
      <c r="U53" s="2253"/>
      <c r="V53" s="2253"/>
      <c r="W53" s="2253"/>
    </row>
    <row r="54" spans="1:23" ht="15.75" thickBot="1">
      <c r="A54" s="2103" t="s">
        <v>707</v>
      </c>
      <c r="B54" s="2125">
        <f>'Provеnce Sienna'!H7+2.5*Погонаж!C11+5*Погонаж!D11</f>
        <v>44000</v>
      </c>
      <c r="C54" s="2126" t="s">
        <v>3</v>
      </c>
      <c r="D54" s="2128" t="s">
        <v>3</v>
      </c>
      <c r="E54" s="2126" t="s">
        <v>3</v>
      </c>
      <c r="F54" s="2128" t="s">
        <v>3</v>
      </c>
      <c r="G54" s="2129" t="s">
        <v>3</v>
      </c>
      <c r="H54" s="669"/>
      <c r="I54" s="2251" t="s">
        <v>707</v>
      </c>
      <c r="J54" s="2125">
        <v>41895</v>
      </c>
      <c r="K54" s="2126" t="s">
        <v>3</v>
      </c>
      <c r="L54" s="2128" t="s">
        <v>3</v>
      </c>
      <c r="M54" s="2126" t="s">
        <v>3</v>
      </c>
      <c r="N54" s="2128" t="s">
        <v>3</v>
      </c>
      <c r="O54" s="2129" t="s">
        <v>3</v>
      </c>
      <c r="Q54" s="2251" t="s">
        <v>707</v>
      </c>
      <c r="R54" s="2253">
        <f t="shared" si="11"/>
        <v>5.0244659267215663E-2</v>
      </c>
      <c r="S54" s="2253"/>
      <c r="T54" s="2253"/>
      <c r="U54" s="2253"/>
      <c r="V54" s="2253"/>
      <c r="W54" s="2253"/>
    </row>
    <row r="55" spans="1:23" ht="15.75" thickBot="1">
      <c r="A55" s="2103" t="s">
        <v>708</v>
      </c>
      <c r="B55" s="2125">
        <f>'Provеnce Sienna'!K7+2.5*Погонаж!C11+5*Погонаж!D11</f>
        <v>44000</v>
      </c>
      <c r="C55" s="2126" t="s">
        <v>3</v>
      </c>
      <c r="D55" s="2128" t="s">
        <v>3</v>
      </c>
      <c r="E55" s="2126" t="s">
        <v>3</v>
      </c>
      <c r="F55" s="2128" t="s">
        <v>3</v>
      </c>
      <c r="G55" s="2129" t="s">
        <v>3</v>
      </c>
      <c r="H55" s="669"/>
      <c r="I55" s="2251" t="s">
        <v>708</v>
      </c>
      <c r="J55" s="2125">
        <v>41895</v>
      </c>
      <c r="K55" s="2126" t="s">
        <v>3</v>
      </c>
      <c r="L55" s="2128" t="s">
        <v>3</v>
      </c>
      <c r="M55" s="2126" t="s">
        <v>3</v>
      </c>
      <c r="N55" s="2128" t="s">
        <v>3</v>
      </c>
      <c r="O55" s="2129" t="s">
        <v>3</v>
      </c>
      <c r="Q55" s="2251" t="s">
        <v>708</v>
      </c>
      <c r="R55" s="2253">
        <f t="shared" si="11"/>
        <v>5.0244659267215663E-2</v>
      </c>
      <c r="S55" s="2253"/>
      <c r="T55" s="2253"/>
      <c r="U55" s="2253"/>
      <c r="V55" s="2253"/>
      <c r="W55" s="2253"/>
    </row>
    <row r="56" spans="1:23" ht="15.75" thickBot="1">
      <c r="A56" s="2106" t="s">
        <v>709</v>
      </c>
      <c r="B56" s="2137">
        <f>'Provеnce Sienna'!M7+2.5*Погонаж!C11+5*Погонаж!D11</f>
        <v>47100</v>
      </c>
      <c r="C56" s="2136" t="s">
        <v>3</v>
      </c>
      <c r="D56" s="2141" t="s">
        <v>3</v>
      </c>
      <c r="E56" s="2136" t="s">
        <v>3</v>
      </c>
      <c r="F56" s="2141" t="s">
        <v>3</v>
      </c>
      <c r="G56" s="2142" t="s">
        <v>3</v>
      </c>
      <c r="H56" s="669"/>
      <c r="I56" s="2106" t="s">
        <v>709</v>
      </c>
      <c r="J56" s="2137">
        <v>44865</v>
      </c>
      <c r="K56" s="2136" t="s">
        <v>3</v>
      </c>
      <c r="L56" s="2141" t="s">
        <v>3</v>
      </c>
      <c r="M56" s="2136" t="s">
        <v>3</v>
      </c>
      <c r="N56" s="2141" t="s">
        <v>3</v>
      </c>
      <c r="O56" s="2142" t="s">
        <v>3</v>
      </c>
      <c r="Q56" s="2106" t="s">
        <v>709</v>
      </c>
      <c r="R56" s="2253">
        <f t="shared" si="11"/>
        <v>4.98161150117018E-2</v>
      </c>
      <c r="S56" s="2253"/>
      <c r="T56" s="2253"/>
      <c r="U56" s="2253"/>
      <c r="V56" s="2253"/>
      <c r="W56" s="2253"/>
    </row>
    <row r="57" spans="1:23" ht="15.75" thickBot="1">
      <c r="A57" s="2102" t="s">
        <v>223</v>
      </c>
      <c r="B57" s="2121">
        <f>'Provеnce Amelia'!G7+2.5*Погонаж!C11+5*Погонаж!D11</f>
        <v>53550</v>
      </c>
      <c r="C57" s="2122" t="s">
        <v>3</v>
      </c>
      <c r="D57" s="2144" t="s">
        <v>3</v>
      </c>
      <c r="E57" s="2122" t="s">
        <v>3</v>
      </c>
      <c r="F57" s="2144" t="s">
        <v>3</v>
      </c>
      <c r="G57" s="2162" t="s">
        <v>3</v>
      </c>
      <c r="H57" s="669"/>
      <c r="I57" s="2102" t="s">
        <v>223</v>
      </c>
      <c r="J57" s="2121">
        <v>51005</v>
      </c>
      <c r="K57" s="2122" t="s">
        <v>3</v>
      </c>
      <c r="L57" s="2144" t="s">
        <v>3</v>
      </c>
      <c r="M57" s="2122" t="s">
        <v>3</v>
      </c>
      <c r="N57" s="2144" t="s">
        <v>3</v>
      </c>
      <c r="O57" s="2162" t="s">
        <v>3</v>
      </c>
      <c r="Q57" s="2102" t="s">
        <v>223</v>
      </c>
      <c r="R57" s="2253">
        <f t="shared" si="11"/>
        <v>4.9897068914812381E-2</v>
      </c>
      <c r="S57" s="2253"/>
      <c r="T57" s="2253"/>
      <c r="U57" s="2253"/>
      <c r="V57" s="2253"/>
      <c r="W57" s="2253"/>
    </row>
    <row r="58" spans="1:23" ht="24.75" thickBot="1">
      <c r="A58" s="2103" t="s">
        <v>1990</v>
      </c>
      <c r="B58" s="2125">
        <f>'Provеnce Amelia'!H8+2.5*Погонаж!C11+5*Погонаж!D11</f>
        <v>62300</v>
      </c>
      <c r="C58" s="2126" t="s">
        <v>3</v>
      </c>
      <c r="D58" s="2128" t="s">
        <v>3</v>
      </c>
      <c r="E58" s="2126" t="s">
        <v>3</v>
      </c>
      <c r="F58" s="2128" t="s">
        <v>3</v>
      </c>
      <c r="G58" s="2129" t="s">
        <v>3</v>
      </c>
      <c r="H58" s="669"/>
      <c r="I58" s="2251" t="s">
        <v>1990</v>
      </c>
      <c r="J58" s="2125">
        <v>59325</v>
      </c>
      <c r="K58" s="2126" t="s">
        <v>3</v>
      </c>
      <c r="L58" s="2128" t="s">
        <v>3</v>
      </c>
      <c r="M58" s="2126" t="s">
        <v>3</v>
      </c>
      <c r="N58" s="2128" t="s">
        <v>3</v>
      </c>
      <c r="O58" s="2129" t="s">
        <v>3</v>
      </c>
      <c r="Q58" s="2251" t="s">
        <v>1990</v>
      </c>
      <c r="R58" s="2253">
        <f t="shared" si="11"/>
        <v>5.0147492625368661E-2</v>
      </c>
      <c r="S58" s="2253"/>
      <c r="T58" s="2253"/>
      <c r="U58" s="2253"/>
      <c r="V58" s="2253"/>
      <c r="W58" s="2253"/>
    </row>
    <row r="59" spans="1:23" ht="15.75" thickBot="1">
      <c r="A59" s="2103" t="s">
        <v>1991</v>
      </c>
      <c r="B59" s="2125">
        <f>'Provеnce Amelia'!H9+2.5*Погонаж!C11+5*Погонаж!D11</f>
        <v>78450</v>
      </c>
      <c r="C59" s="2126" t="s">
        <v>3</v>
      </c>
      <c r="D59" s="2128" t="s">
        <v>3</v>
      </c>
      <c r="E59" s="2126" t="s">
        <v>3</v>
      </c>
      <c r="F59" s="2128" t="s">
        <v>3</v>
      </c>
      <c r="G59" s="2129" t="s">
        <v>3</v>
      </c>
      <c r="H59" s="669"/>
      <c r="I59" s="2251" t="s">
        <v>1991</v>
      </c>
      <c r="J59" s="2125">
        <v>74665</v>
      </c>
      <c r="K59" s="2126" t="s">
        <v>3</v>
      </c>
      <c r="L59" s="2128" t="s">
        <v>3</v>
      </c>
      <c r="M59" s="2126" t="s">
        <v>3</v>
      </c>
      <c r="N59" s="2128" t="s">
        <v>3</v>
      </c>
      <c r="O59" s="2129" t="s">
        <v>3</v>
      </c>
      <c r="Q59" s="2251" t="s">
        <v>1991</v>
      </c>
      <c r="R59" s="2253">
        <f t="shared" si="11"/>
        <v>5.0693095828031831E-2</v>
      </c>
      <c r="S59" s="2253"/>
      <c r="T59" s="2253"/>
      <c r="U59" s="2253"/>
      <c r="V59" s="2253"/>
      <c r="W59" s="2253"/>
    </row>
    <row r="60" spans="1:23" ht="15.75" thickBot="1">
      <c r="A60" s="2103" t="s">
        <v>1992</v>
      </c>
      <c r="B60" s="2125">
        <f>'Provеnce Amelia'!H10+2.5*Погонаж!C11+5*Погонаж!D11</f>
        <v>84940</v>
      </c>
      <c r="C60" s="2126" t="s">
        <v>3</v>
      </c>
      <c r="D60" s="2128" t="s">
        <v>3</v>
      </c>
      <c r="E60" s="2126" t="s">
        <v>3</v>
      </c>
      <c r="F60" s="2128" t="s">
        <v>3</v>
      </c>
      <c r="G60" s="2129" t="s">
        <v>3</v>
      </c>
      <c r="H60" s="669"/>
      <c r="I60" s="2251" t="s">
        <v>1992</v>
      </c>
      <c r="J60" s="2125">
        <v>80839</v>
      </c>
      <c r="K60" s="2126" t="s">
        <v>3</v>
      </c>
      <c r="L60" s="2128" t="s">
        <v>3</v>
      </c>
      <c r="M60" s="2126" t="s">
        <v>3</v>
      </c>
      <c r="N60" s="2128" t="s">
        <v>3</v>
      </c>
      <c r="O60" s="2129" t="s">
        <v>3</v>
      </c>
      <c r="Q60" s="2251" t="s">
        <v>1992</v>
      </c>
      <c r="R60" s="2253">
        <f t="shared" si="11"/>
        <v>5.0730464256113939E-2</v>
      </c>
      <c r="S60" s="2253"/>
      <c r="T60" s="2253"/>
      <c r="U60" s="2253"/>
      <c r="V60" s="2253"/>
      <c r="W60" s="2253"/>
    </row>
    <row r="61" spans="1:23" ht="15.75" thickBot="1">
      <c r="A61" s="2106" t="s">
        <v>1989</v>
      </c>
      <c r="B61" s="2137">
        <f>'Provеnce Amelia'!K8+2.5*Погонаж!C11+5*Погонаж!D11</f>
        <v>78450</v>
      </c>
      <c r="C61" s="2136" t="s">
        <v>3</v>
      </c>
      <c r="D61" s="2141" t="s">
        <v>3</v>
      </c>
      <c r="E61" s="2136" t="s">
        <v>3</v>
      </c>
      <c r="F61" s="2141" t="s">
        <v>3</v>
      </c>
      <c r="G61" s="2142" t="s">
        <v>3</v>
      </c>
      <c r="H61" s="669"/>
      <c r="I61" s="2106" t="s">
        <v>1989</v>
      </c>
      <c r="J61" s="2137">
        <v>74665</v>
      </c>
      <c r="K61" s="2136" t="s">
        <v>3</v>
      </c>
      <c r="L61" s="2141" t="s">
        <v>3</v>
      </c>
      <c r="M61" s="2136" t="s">
        <v>3</v>
      </c>
      <c r="N61" s="2141" t="s">
        <v>3</v>
      </c>
      <c r="O61" s="2142" t="s">
        <v>3</v>
      </c>
      <c r="Q61" s="2106" t="s">
        <v>1989</v>
      </c>
      <c r="R61" s="2253">
        <f t="shared" si="11"/>
        <v>5.0693095828031831E-2</v>
      </c>
      <c r="S61" s="2253"/>
      <c r="T61" s="2253"/>
      <c r="U61" s="2253"/>
      <c r="V61" s="2253"/>
      <c r="W61" s="2253"/>
    </row>
    <row r="62" spans="1:23" ht="15.75" customHeight="1" thickBot="1">
      <c r="A62" s="2107" t="s">
        <v>1993</v>
      </c>
      <c r="B62" s="2144" t="s">
        <v>3</v>
      </c>
      <c r="C62" s="2122" t="s">
        <v>3</v>
      </c>
      <c r="D62" s="2144" t="s">
        <v>3</v>
      </c>
      <c r="E62" s="2120">
        <f>Design!G8+2.5*Погонаж!C13+5*Погонаж!D13</f>
        <v>49625</v>
      </c>
      <c r="F62" s="2121">
        <f>Design!G9+2.5*Погонаж!C14+5*Погонаж!E14</f>
        <v>51655</v>
      </c>
      <c r="G62" s="2123">
        <f>Design!G10+2.5*Погонаж!C15+5*Погонаж!E15</f>
        <v>53810</v>
      </c>
      <c r="H62" s="669"/>
      <c r="I62" s="2107" t="s">
        <v>1993</v>
      </c>
      <c r="J62" s="2144" t="s">
        <v>3</v>
      </c>
      <c r="K62" s="2122" t="s">
        <v>3</v>
      </c>
      <c r="L62" s="2144" t="s">
        <v>3</v>
      </c>
      <c r="M62" s="2120">
        <v>47130</v>
      </c>
      <c r="N62" s="2121">
        <v>49340</v>
      </c>
      <c r="O62" s="2123">
        <v>51425</v>
      </c>
      <c r="Q62" s="2107" t="s">
        <v>1993</v>
      </c>
      <c r="R62" s="2253"/>
      <c r="S62" s="2253"/>
      <c r="T62" s="2253"/>
      <c r="U62" s="2253">
        <f t="shared" ref="U62:U67" si="12">E62/M62-1</f>
        <v>5.2938680246127801E-2</v>
      </c>
      <c r="V62" s="2253"/>
      <c r="W62" s="2253">
        <f>G62/O62-1</f>
        <v>4.63782207097716E-2</v>
      </c>
    </row>
    <row r="63" spans="1:23" ht="15.75" customHeight="1" thickBot="1">
      <c r="A63" s="2108" t="s">
        <v>1846</v>
      </c>
      <c r="B63" s="2128" t="s">
        <v>3</v>
      </c>
      <c r="C63" s="2126" t="s">
        <v>3</v>
      </c>
      <c r="D63" s="2128" t="s">
        <v>3</v>
      </c>
      <c r="E63" s="2124">
        <f>Design!H8+2.5*Погонаж!C13+5*Погонаж!D13</f>
        <v>51975</v>
      </c>
      <c r="F63" s="2125">
        <f>Design!H9+2.5*Погонаж!C14+5*Погонаж!E14</f>
        <v>54005</v>
      </c>
      <c r="G63" s="2127">
        <f>Design!H10+2.5*Погонаж!C15+5*Погонаж!E15</f>
        <v>56160</v>
      </c>
      <c r="H63" s="669"/>
      <c r="I63" s="2108" t="s">
        <v>1846</v>
      </c>
      <c r="J63" s="2128" t="s">
        <v>3</v>
      </c>
      <c r="K63" s="2126" t="s">
        <v>3</v>
      </c>
      <c r="L63" s="2128" t="s">
        <v>3</v>
      </c>
      <c r="M63" s="2124">
        <v>49330</v>
      </c>
      <c r="N63" s="2125">
        <v>51540</v>
      </c>
      <c r="O63" s="2127">
        <v>53625</v>
      </c>
      <c r="Q63" s="2108" t="s">
        <v>1846</v>
      </c>
      <c r="R63" s="2253"/>
      <c r="S63" s="2253"/>
      <c r="T63" s="2253"/>
      <c r="U63" s="2253">
        <f t="shared" si="12"/>
        <v>5.3618487735657805E-2</v>
      </c>
      <c r="V63" s="2253"/>
      <c r="W63" s="2253">
        <f>G63/O63-1</f>
        <v>4.7272727272727355E-2</v>
      </c>
    </row>
    <row r="64" spans="1:23" ht="15.75" customHeight="1" thickBot="1">
      <c r="A64" s="2109" t="s">
        <v>2026</v>
      </c>
      <c r="B64" s="2128" t="s">
        <v>3</v>
      </c>
      <c r="C64" s="2126" t="s">
        <v>3</v>
      </c>
      <c r="D64" s="2128" t="s">
        <v>3</v>
      </c>
      <c r="E64" s="2124">
        <f>Design!I8+2.5*Погонаж!C13+5*Погонаж!D13</f>
        <v>51975</v>
      </c>
      <c r="F64" s="2125">
        <f>Design!I9+2.5*Погонаж!C14+5*Погонаж!E14</f>
        <v>54005</v>
      </c>
      <c r="G64" s="2127">
        <f>Design!I10+2.5*Погонаж!C15+5*Погонаж!E15</f>
        <v>56160</v>
      </c>
      <c r="H64" s="669"/>
      <c r="I64" s="2109" t="s">
        <v>2026</v>
      </c>
      <c r="J64" s="2128" t="s">
        <v>3</v>
      </c>
      <c r="K64" s="2126" t="s">
        <v>3</v>
      </c>
      <c r="L64" s="2128" t="s">
        <v>3</v>
      </c>
      <c r="M64" s="2124">
        <v>51930</v>
      </c>
      <c r="N64" s="2125">
        <v>54140</v>
      </c>
      <c r="O64" s="2127">
        <v>56225</v>
      </c>
      <c r="Q64" s="2109" t="s">
        <v>2026</v>
      </c>
      <c r="R64" s="2253"/>
      <c r="S64" s="2253"/>
      <c r="T64" s="2253"/>
      <c r="U64" s="2253">
        <f t="shared" si="12"/>
        <v>8.6655112651645716E-4</v>
      </c>
      <c r="V64" s="2253"/>
      <c r="W64" s="2253">
        <f>G64/O64-1</f>
        <v>-1.1560693641619046E-3</v>
      </c>
    </row>
    <row r="65" spans="1:23" ht="15.75" customHeight="1" thickBot="1">
      <c r="A65" s="2108" t="s">
        <v>1994</v>
      </c>
      <c r="B65" s="2128" t="s">
        <v>3</v>
      </c>
      <c r="C65" s="2126" t="s">
        <v>3</v>
      </c>
      <c r="D65" s="2128" t="s">
        <v>3</v>
      </c>
      <c r="E65" s="2124">
        <f>Design!J8+2.5*Погонаж!C13+5*Погонаж!D13</f>
        <v>60825</v>
      </c>
      <c r="F65" s="2128" t="s">
        <v>3</v>
      </c>
      <c r="G65" s="2129" t="s">
        <v>3</v>
      </c>
      <c r="H65" s="669"/>
      <c r="I65" s="2108" t="s">
        <v>1994</v>
      </c>
      <c r="J65" s="2128" t="s">
        <v>3</v>
      </c>
      <c r="K65" s="2126" t="s">
        <v>3</v>
      </c>
      <c r="L65" s="2128" t="s">
        <v>3</v>
      </c>
      <c r="M65" s="2124">
        <v>57750</v>
      </c>
      <c r="N65" s="2128" t="s">
        <v>3</v>
      </c>
      <c r="O65" s="2129" t="s">
        <v>3</v>
      </c>
      <c r="Q65" s="2108" t="s">
        <v>1994</v>
      </c>
      <c r="R65" s="2253"/>
      <c r="S65" s="2253"/>
      <c r="T65" s="2253"/>
      <c r="U65" s="2253">
        <f t="shared" si="12"/>
        <v>5.324675324675332E-2</v>
      </c>
      <c r="V65" s="2253"/>
      <c r="W65" s="2253"/>
    </row>
    <row r="66" spans="1:23" ht="15.75" customHeight="1" thickBot="1">
      <c r="A66" s="2109" t="s">
        <v>2027</v>
      </c>
      <c r="B66" s="2125">
        <f>Design!K7+2.5*Погонаж!C11+5*Погонаж!D11</f>
        <v>47550</v>
      </c>
      <c r="C66" s="2126" t="s">
        <v>3</v>
      </c>
      <c r="D66" s="2128" t="s">
        <v>3</v>
      </c>
      <c r="E66" s="2124">
        <f>Design!K8+2.5*Погонаж!C13+5*Погонаж!D13</f>
        <v>55675</v>
      </c>
      <c r="F66" s="2128" t="s">
        <v>3</v>
      </c>
      <c r="G66" s="2129" t="s">
        <v>3</v>
      </c>
      <c r="H66" s="669"/>
      <c r="I66" s="2109" t="s">
        <v>2027</v>
      </c>
      <c r="J66" s="2125">
        <v>45275</v>
      </c>
      <c r="K66" s="2126" t="s">
        <v>3</v>
      </c>
      <c r="L66" s="2128" t="s">
        <v>3</v>
      </c>
      <c r="M66" s="2124">
        <v>52850</v>
      </c>
      <c r="N66" s="2128" t="s">
        <v>3</v>
      </c>
      <c r="O66" s="2129" t="s">
        <v>3</v>
      </c>
      <c r="Q66" s="2109" t="s">
        <v>2027</v>
      </c>
      <c r="R66" s="2253">
        <f t="shared" ref="R66:R74" si="13">B66/J66-1</f>
        <v>5.0248481501932618E-2</v>
      </c>
      <c r="S66" s="2253"/>
      <c r="T66" s="2253"/>
      <c r="U66" s="2253">
        <f t="shared" si="12"/>
        <v>5.3453169347209117E-2</v>
      </c>
      <c r="V66" s="2253"/>
      <c r="W66" s="2253"/>
    </row>
    <row r="67" spans="1:23" ht="15" customHeight="1" thickBot="1">
      <c r="A67" s="2106" t="s">
        <v>1995</v>
      </c>
      <c r="B67" s="2137">
        <f>Design!L7+2.5*Погонаж!C11+5*Погонаж!D11</f>
        <v>52300</v>
      </c>
      <c r="C67" s="2136" t="s">
        <v>3</v>
      </c>
      <c r="D67" s="2141" t="s">
        <v>3</v>
      </c>
      <c r="E67" s="2138">
        <f>Design!L8+2.5*Погонаж!C13+5*Погонаж!D13</f>
        <v>60825</v>
      </c>
      <c r="F67" s="2141" t="s">
        <v>3</v>
      </c>
      <c r="G67" s="2142" t="s">
        <v>3</v>
      </c>
      <c r="H67" s="669"/>
      <c r="I67" s="2106" t="s">
        <v>1995</v>
      </c>
      <c r="J67" s="2137">
        <v>49805</v>
      </c>
      <c r="K67" s="2136" t="s">
        <v>3</v>
      </c>
      <c r="L67" s="2141" t="s">
        <v>3</v>
      </c>
      <c r="M67" s="2138">
        <v>57750</v>
      </c>
      <c r="N67" s="2141" t="s">
        <v>3</v>
      </c>
      <c r="O67" s="2142" t="s">
        <v>3</v>
      </c>
      <c r="Q67" s="2106" t="s">
        <v>1995</v>
      </c>
      <c r="R67" s="2253">
        <f t="shared" si="13"/>
        <v>5.0095371950607426E-2</v>
      </c>
      <c r="S67" s="2253"/>
      <c r="T67" s="2253"/>
      <c r="U67" s="2253">
        <f t="shared" si="12"/>
        <v>5.324675324675332E-2</v>
      </c>
      <c r="V67" s="2253"/>
      <c r="W67" s="2253"/>
    </row>
    <row r="68" spans="1:23" ht="15" customHeight="1" thickBot="1">
      <c r="A68" s="2102" t="s">
        <v>1996</v>
      </c>
      <c r="B68" s="2121">
        <f>'E-Design'!G7+2.5*Погонаж!C11+5*Погонаж!D11</f>
        <v>44300</v>
      </c>
      <c r="C68" s="2122" t="s">
        <v>3</v>
      </c>
      <c r="D68" s="2144" t="s">
        <v>3</v>
      </c>
      <c r="E68" s="2122" t="s">
        <v>3</v>
      </c>
      <c r="F68" s="2144" t="s">
        <v>3</v>
      </c>
      <c r="G68" s="2162" t="s">
        <v>3</v>
      </c>
      <c r="H68" s="669"/>
      <c r="I68" s="2102" t="s">
        <v>1996</v>
      </c>
      <c r="J68" s="2121">
        <v>42165</v>
      </c>
      <c r="K68" s="2122" t="s">
        <v>3</v>
      </c>
      <c r="L68" s="2144" t="s">
        <v>3</v>
      </c>
      <c r="M68" s="2122" t="s">
        <v>3</v>
      </c>
      <c r="N68" s="2144" t="s">
        <v>3</v>
      </c>
      <c r="O68" s="2162" t="s">
        <v>3</v>
      </c>
      <c r="Q68" s="2102" t="s">
        <v>1996</v>
      </c>
      <c r="R68" s="2253">
        <f t="shared" si="13"/>
        <v>5.0634412427368769E-2</v>
      </c>
      <c r="S68" s="2253"/>
      <c r="T68" s="2253"/>
      <c r="U68" s="2253"/>
      <c r="V68" s="2253"/>
      <c r="W68" s="2253"/>
    </row>
    <row r="69" spans="1:23" ht="15" customHeight="1" thickBot="1">
      <c r="A69" s="2109" t="s">
        <v>1997</v>
      </c>
      <c r="B69" s="2131">
        <f>'E-Design'!I7+2.5*Погонаж!C11+5*Погонаж!D11</f>
        <v>65500</v>
      </c>
      <c r="C69" s="2132" t="s">
        <v>3</v>
      </c>
      <c r="D69" s="2133" t="s">
        <v>3</v>
      </c>
      <c r="E69" s="2132" t="s">
        <v>3</v>
      </c>
      <c r="F69" s="2133" t="s">
        <v>3</v>
      </c>
      <c r="G69" s="2134" t="s">
        <v>3</v>
      </c>
      <c r="H69" s="669"/>
      <c r="I69" s="2109" t="s">
        <v>1997</v>
      </c>
      <c r="J69" s="2131">
        <v>62325</v>
      </c>
      <c r="K69" s="2132" t="s">
        <v>3</v>
      </c>
      <c r="L69" s="2133" t="s">
        <v>3</v>
      </c>
      <c r="M69" s="2132" t="s">
        <v>3</v>
      </c>
      <c r="N69" s="2133" t="s">
        <v>3</v>
      </c>
      <c r="O69" s="2134" t="s">
        <v>3</v>
      </c>
      <c r="Q69" s="2109" t="s">
        <v>1997</v>
      </c>
      <c r="R69" s="2253">
        <f t="shared" si="13"/>
        <v>5.0942639390292754E-2</v>
      </c>
      <c r="S69" s="2253"/>
      <c r="T69" s="2253"/>
      <c r="U69" s="2253"/>
      <c r="V69" s="2253"/>
      <c r="W69" s="2253"/>
    </row>
    <row r="70" spans="1:23" ht="15.75" thickBot="1">
      <c r="A70" s="2102" t="s">
        <v>1998</v>
      </c>
      <c r="B70" s="2121">
        <f>'E-Classic'!G6+2.5*Погонаж!C11+5*Погонаж!D11</f>
        <v>60000</v>
      </c>
      <c r="C70" s="2122" t="s">
        <v>3</v>
      </c>
      <c r="D70" s="2144" t="s">
        <v>3</v>
      </c>
      <c r="E70" s="2122" t="s">
        <v>3</v>
      </c>
      <c r="F70" s="2144" t="s">
        <v>3</v>
      </c>
      <c r="G70" s="2162" t="s">
        <v>3</v>
      </c>
      <c r="H70" s="669"/>
      <c r="I70" s="2102" t="s">
        <v>1998</v>
      </c>
      <c r="J70" s="2121">
        <v>57125</v>
      </c>
      <c r="K70" s="2122" t="s">
        <v>3</v>
      </c>
      <c r="L70" s="2144" t="s">
        <v>3</v>
      </c>
      <c r="M70" s="2122" t="s">
        <v>3</v>
      </c>
      <c r="N70" s="2144" t="s">
        <v>3</v>
      </c>
      <c r="O70" s="2162" t="s">
        <v>3</v>
      </c>
      <c r="Q70" s="2102" t="s">
        <v>1998</v>
      </c>
      <c r="R70" s="2253">
        <f t="shared" si="13"/>
        <v>5.032822757111588E-2</v>
      </c>
      <c r="S70" s="2253"/>
      <c r="T70" s="2253"/>
      <c r="U70" s="2253"/>
      <c r="V70" s="2253"/>
      <c r="W70" s="2253"/>
    </row>
    <row r="71" spans="1:23" ht="15.75" thickBot="1">
      <c r="A71" s="2103" t="s">
        <v>1999</v>
      </c>
      <c r="B71" s="2125">
        <f>'E-Classic'!J6+2.5*Погонаж!C11+5*Погонаж!D11</f>
        <v>65500</v>
      </c>
      <c r="C71" s="2126" t="s">
        <v>3</v>
      </c>
      <c r="D71" s="2128" t="s">
        <v>3</v>
      </c>
      <c r="E71" s="2126" t="s">
        <v>3</v>
      </c>
      <c r="F71" s="2128" t="s">
        <v>3</v>
      </c>
      <c r="G71" s="2129" t="s">
        <v>3</v>
      </c>
      <c r="H71" s="669"/>
      <c r="I71" s="2251" t="s">
        <v>1999</v>
      </c>
      <c r="J71" s="2125">
        <v>62325</v>
      </c>
      <c r="K71" s="2126" t="s">
        <v>3</v>
      </c>
      <c r="L71" s="2128" t="s">
        <v>3</v>
      </c>
      <c r="M71" s="2126" t="s">
        <v>3</v>
      </c>
      <c r="N71" s="2128" t="s">
        <v>3</v>
      </c>
      <c r="O71" s="2129" t="s">
        <v>3</v>
      </c>
      <c r="Q71" s="2251" t="s">
        <v>1999</v>
      </c>
      <c r="R71" s="2253">
        <f t="shared" si="13"/>
        <v>5.0942639390292754E-2</v>
      </c>
      <c r="S71" s="2253"/>
      <c r="T71" s="2253"/>
      <c r="U71" s="2253"/>
      <c r="V71" s="2253"/>
      <c r="W71" s="2253"/>
    </row>
    <row r="72" spans="1:23" ht="15.75" thickBot="1">
      <c r="A72" s="2108" t="s">
        <v>2000</v>
      </c>
      <c r="B72" s="2125">
        <f>'E-Classic'!L6+2.5*Погонаж!C11+5*Погонаж!D11</f>
        <v>71000</v>
      </c>
      <c r="C72" s="2126" t="s">
        <v>3</v>
      </c>
      <c r="D72" s="2128" t="s">
        <v>3</v>
      </c>
      <c r="E72" s="2126" t="s">
        <v>3</v>
      </c>
      <c r="F72" s="2128" t="s">
        <v>3</v>
      </c>
      <c r="G72" s="2129" t="s">
        <v>3</v>
      </c>
      <c r="H72" s="669"/>
      <c r="I72" s="2108" t="s">
        <v>2000</v>
      </c>
      <c r="J72" s="2125">
        <v>67525</v>
      </c>
      <c r="K72" s="2126" t="s">
        <v>3</v>
      </c>
      <c r="L72" s="2128" t="s">
        <v>3</v>
      </c>
      <c r="M72" s="2126" t="s">
        <v>3</v>
      </c>
      <c r="N72" s="2128" t="s">
        <v>3</v>
      </c>
      <c r="O72" s="2129" t="s">
        <v>3</v>
      </c>
      <c r="Q72" s="2108" t="s">
        <v>2000</v>
      </c>
      <c r="R72" s="2253">
        <f t="shared" si="13"/>
        <v>5.1462421325435104E-2</v>
      </c>
      <c r="S72" s="2253"/>
      <c r="T72" s="2253"/>
      <c r="U72" s="2253"/>
      <c r="V72" s="2253"/>
      <c r="W72" s="2253"/>
    </row>
    <row r="73" spans="1:23" ht="15.75" thickBot="1">
      <c r="A73" s="2108" t="s">
        <v>1047</v>
      </c>
      <c r="B73" s="2125">
        <f>'E-Classic'!M6+2.5*Погонаж!C11+5*Погонаж!D11</f>
        <v>71000</v>
      </c>
      <c r="C73" s="2126" t="s">
        <v>3</v>
      </c>
      <c r="D73" s="2128" t="s">
        <v>3</v>
      </c>
      <c r="E73" s="2126" t="s">
        <v>3</v>
      </c>
      <c r="F73" s="2128" t="s">
        <v>3</v>
      </c>
      <c r="G73" s="2129" t="s">
        <v>3</v>
      </c>
      <c r="H73" s="669"/>
      <c r="I73" s="2108" t="s">
        <v>1047</v>
      </c>
      <c r="J73" s="2125">
        <v>67525</v>
      </c>
      <c r="K73" s="2126" t="s">
        <v>3</v>
      </c>
      <c r="L73" s="2128" t="s">
        <v>3</v>
      </c>
      <c r="M73" s="2126" t="s">
        <v>3</v>
      </c>
      <c r="N73" s="2128" t="s">
        <v>3</v>
      </c>
      <c r="O73" s="2129" t="s">
        <v>3</v>
      </c>
      <c r="Q73" s="2108" t="s">
        <v>1047</v>
      </c>
      <c r="R73" s="2253">
        <f t="shared" si="13"/>
        <v>5.1462421325435104E-2</v>
      </c>
      <c r="S73" s="2253"/>
      <c r="T73" s="2253"/>
      <c r="U73" s="2253"/>
      <c r="V73" s="2253"/>
      <c r="W73" s="2253"/>
    </row>
    <row r="74" spans="1:23" ht="15.75" thickBot="1">
      <c r="A74" s="2110" t="s">
        <v>2001</v>
      </c>
      <c r="B74" s="2137">
        <f>'E-Classic'!N6+2.5*Погонаж!C11+5*Погонаж!D11</f>
        <v>71000</v>
      </c>
      <c r="C74" s="2136" t="s">
        <v>3</v>
      </c>
      <c r="D74" s="2141" t="s">
        <v>3</v>
      </c>
      <c r="E74" s="2136" t="s">
        <v>3</v>
      </c>
      <c r="F74" s="2141" t="s">
        <v>3</v>
      </c>
      <c r="G74" s="2142" t="s">
        <v>3</v>
      </c>
      <c r="H74" s="669"/>
      <c r="I74" s="2110" t="s">
        <v>2001</v>
      </c>
      <c r="J74" s="2137">
        <v>67525</v>
      </c>
      <c r="K74" s="2136" t="s">
        <v>3</v>
      </c>
      <c r="L74" s="2141" t="s">
        <v>3</v>
      </c>
      <c r="M74" s="2136" t="s">
        <v>3</v>
      </c>
      <c r="N74" s="2141" t="s">
        <v>3</v>
      </c>
      <c r="O74" s="2142" t="s">
        <v>3</v>
      </c>
      <c r="Q74" s="2110" t="s">
        <v>2001</v>
      </c>
      <c r="R74" s="2253">
        <f t="shared" si="13"/>
        <v>5.1462421325435104E-2</v>
      </c>
      <c r="S74" s="2253"/>
      <c r="T74" s="2253"/>
      <c r="U74" s="2253"/>
      <c r="V74" s="2253"/>
      <c r="W74" s="2253"/>
    </row>
    <row r="75" spans="1:23" ht="15.75" thickBot="1">
      <c r="A75" s="2102" t="s">
        <v>2002</v>
      </c>
      <c r="B75" s="2144" t="s">
        <v>3</v>
      </c>
      <c r="C75" s="2122" t="s">
        <v>3</v>
      </c>
      <c r="D75" s="2121">
        <f>'Classic Rosso'!G7+2.5*Погонаж!C12+5*Погонаж!D12</f>
        <v>49885</v>
      </c>
      <c r="E75" s="2120">
        <f>'Classic Rosso'!G8+2.5*Погонаж!C13+5*Погонаж!D13</f>
        <v>53575</v>
      </c>
      <c r="F75" s="2144" t="s">
        <v>3</v>
      </c>
      <c r="G75" s="2123">
        <f>'Classic Rosso'!G9+2.5*Погонаж!C15+5*Погонаж!E15</f>
        <v>57850</v>
      </c>
      <c r="H75" s="669"/>
      <c r="I75" s="2102" t="s">
        <v>2002</v>
      </c>
      <c r="J75" s="2144" t="s">
        <v>3</v>
      </c>
      <c r="K75" s="2122" t="s">
        <v>3</v>
      </c>
      <c r="L75" s="2121">
        <v>47490</v>
      </c>
      <c r="M75" s="2120">
        <v>50810</v>
      </c>
      <c r="N75" s="2144" t="s">
        <v>3</v>
      </c>
      <c r="O75" s="2123">
        <v>55185</v>
      </c>
      <c r="Q75" s="2102" t="s">
        <v>2002</v>
      </c>
      <c r="R75" s="2253"/>
      <c r="S75" s="2253"/>
      <c r="T75" s="2253">
        <f t="shared" ref="T75:T83" si="14">D75/L75-1</f>
        <v>5.0431669825226288E-2</v>
      </c>
      <c r="U75" s="2253">
        <f t="shared" ref="U75:U83" si="15">E75/M75-1</f>
        <v>5.4418421570556985E-2</v>
      </c>
      <c r="V75" s="2253"/>
      <c r="W75" s="2253">
        <f t="shared" ref="W75:W83" si="16">G75/O75-1</f>
        <v>4.829210836277964E-2</v>
      </c>
    </row>
    <row r="76" spans="1:23" ht="15.75" thickBot="1">
      <c r="A76" s="2103" t="s">
        <v>2003</v>
      </c>
      <c r="B76" s="2128" t="s">
        <v>3</v>
      </c>
      <c r="C76" s="2126" t="s">
        <v>3</v>
      </c>
      <c r="D76" s="2125">
        <f>'Classic Rosso'!H7+2.5*Погонаж!C12+5*Погонаж!D12</f>
        <v>49885</v>
      </c>
      <c r="E76" s="2124">
        <f>'Classic Rosso'!H8+2.5*Погонаж!C13+5*Погонаж!D13</f>
        <v>53575</v>
      </c>
      <c r="F76" s="2128" t="s">
        <v>3</v>
      </c>
      <c r="G76" s="2127">
        <f>'Classic Rosso'!H9+2.5*Погонаж!C15+5*Погонаж!E15</f>
        <v>57850</v>
      </c>
      <c r="H76" s="669"/>
      <c r="I76" s="2251" t="s">
        <v>2003</v>
      </c>
      <c r="J76" s="2128" t="s">
        <v>3</v>
      </c>
      <c r="K76" s="2126" t="s">
        <v>3</v>
      </c>
      <c r="L76" s="2125">
        <v>51690</v>
      </c>
      <c r="M76" s="2124">
        <v>55010</v>
      </c>
      <c r="N76" s="2128" t="s">
        <v>3</v>
      </c>
      <c r="O76" s="2127">
        <v>59385</v>
      </c>
      <c r="Q76" s="2251" t="s">
        <v>2003</v>
      </c>
      <c r="R76" s="2253"/>
      <c r="S76" s="2253"/>
      <c r="T76" s="2253">
        <f t="shared" si="14"/>
        <v>-3.4919713677693975E-2</v>
      </c>
      <c r="U76" s="2253">
        <f t="shared" si="15"/>
        <v>-2.6086166151608747E-2</v>
      </c>
      <c r="V76" s="2253"/>
      <c r="W76" s="2253">
        <f t="shared" si="16"/>
        <v>-2.5848278184726792E-2</v>
      </c>
    </row>
    <row r="77" spans="1:23" ht="15.75" thickBot="1">
      <c r="A77" s="2103" t="s">
        <v>1050</v>
      </c>
      <c r="B77" s="2128" t="s">
        <v>3</v>
      </c>
      <c r="C77" s="2126" t="s">
        <v>3</v>
      </c>
      <c r="D77" s="2125">
        <f>'Classic Rosso'!I7+2.5*Погонаж!C12+5*Погонаж!D12</f>
        <v>55585</v>
      </c>
      <c r="E77" s="2124">
        <f>'Classic Rosso'!I8+2.5*Погонаж!C13+5*Погонаж!D13</f>
        <v>59275</v>
      </c>
      <c r="F77" s="2128" t="s">
        <v>3</v>
      </c>
      <c r="G77" s="2127">
        <f>'Classic Rosso'!I9+2.5*Погонаж!C15+5*Погонаж!E15</f>
        <v>63550</v>
      </c>
      <c r="H77" s="669"/>
      <c r="I77" s="2251" t="s">
        <v>1050</v>
      </c>
      <c r="J77" s="2128" t="s">
        <v>3</v>
      </c>
      <c r="K77" s="2126" t="s">
        <v>3</v>
      </c>
      <c r="L77" s="2125">
        <v>52910</v>
      </c>
      <c r="M77" s="2124">
        <v>56230</v>
      </c>
      <c r="N77" s="2128" t="s">
        <v>3</v>
      </c>
      <c r="O77" s="2127">
        <v>60605</v>
      </c>
      <c r="Q77" s="2251" t="s">
        <v>1050</v>
      </c>
      <c r="R77" s="2253"/>
      <c r="S77" s="2253"/>
      <c r="T77" s="2253">
        <f t="shared" si="14"/>
        <v>5.0557550557550623E-2</v>
      </c>
      <c r="U77" s="2253">
        <f t="shared" si="15"/>
        <v>5.4152587586697498E-2</v>
      </c>
      <c r="V77" s="2253"/>
      <c r="W77" s="2253">
        <f t="shared" si="16"/>
        <v>4.8593350383631773E-2</v>
      </c>
    </row>
    <row r="78" spans="1:23" ht="15.75" thickBot="1">
      <c r="A78" s="2103" t="s">
        <v>2004</v>
      </c>
      <c r="B78" s="2128" t="s">
        <v>3</v>
      </c>
      <c r="C78" s="2126" t="s">
        <v>3</v>
      </c>
      <c r="D78" s="2125">
        <f>'Classic Rosso'!J7+2.5*Погонаж!C12+5*Погонаж!D12</f>
        <v>61085</v>
      </c>
      <c r="E78" s="2124">
        <f>'Classic Rosso'!J8+2.5*Погонаж!C13+5*Погонаж!D13</f>
        <v>64775</v>
      </c>
      <c r="F78" s="2128" t="s">
        <v>3</v>
      </c>
      <c r="G78" s="2127">
        <f>'Classic Rosso'!J9+2.5*Погонаж!C15+5*Погонаж!E15</f>
        <v>69050</v>
      </c>
      <c r="H78" s="669"/>
      <c r="I78" s="2251" t="s">
        <v>2004</v>
      </c>
      <c r="J78" s="2128" t="s">
        <v>3</v>
      </c>
      <c r="K78" s="2126" t="s">
        <v>3</v>
      </c>
      <c r="L78" s="2125">
        <v>58110</v>
      </c>
      <c r="M78" s="2124">
        <v>61430</v>
      </c>
      <c r="N78" s="2128" t="s">
        <v>3</v>
      </c>
      <c r="O78" s="2127">
        <v>65805</v>
      </c>
      <c r="Q78" s="2251" t="s">
        <v>2004</v>
      </c>
      <c r="R78" s="2253"/>
      <c r="S78" s="2253"/>
      <c r="T78" s="2253">
        <f t="shared" si="14"/>
        <v>5.1196007571846502E-2</v>
      </c>
      <c r="U78" s="2253">
        <f t="shared" si="15"/>
        <v>5.445222204134792E-2</v>
      </c>
      <c r="V78" s="2253"/>
      <c r="W78" s="2253">
        <f t="shared" si="16"/>
        <v>4.9312362282501354E-2</v>
      </c>
    </row>
    <row r="79" spans="1:23" ht="15.75" thickBot="1">
      <c r="A79" s="2103" t="s">
        <v>1051</v>
      </c>
      <c r="B79" s="2128" t="s">
        <v>3</v>
      </c>
      <c r="C79" s="2126" t="s">
        <v>3</v>
      </c>
      <c r="D79" s="2125">
        <f>'Classic Rosso'!K7+2.5*Погонаж!C12+5*Погонаж!D12</f>
        <v>55585</v>
      </c>
      <c r="E79" s="2124">
        <f>'Classic Rosso'!K8+2.5*Погонаж!C13+5*Погонаж!D13</f>
        <v>59275</v>
      </c>
      <c r="F79" s="2128" t="s">
        <v>3</v>
      </c>
      <c r="G79" s="2127">
        <f>'Classic Rosso'!K9+2.5*Погонаж!C15+5*Погонаж!E15</f>
        <v>63550</v>
      </c>
      <c r="H79" s="669"/>
      <c r="I79" s="2251" t="s">
        <v>1051</v>
      </c>
      <c r="J79" s="2128" t="s">
        <v>3</v>
      </c>
      <c r="K79" s="2126" t="s">
        <v>3</v>
      </c>
      <c r="L79" s="2125">
        <v>52910</v>
      </c>
      <c r="M79" s="2124">
        <v>56230</v>
      </c>
      <c r="N79" s="2128" t="s">
        <v>3</v>
      </c>
      <c r="O79" s="2127">
        <v>60605</v>
      </c>
      <c r="Q79" s="2251" t="s">
        <v>1051</v>
      </c>
      <c r="R79" s="2253"/>
      <c r="S79" s="2253"/>
      <c r="T79" s="2253">
        <f t="shared" si="14"/>
        <v>5.0557550557550623E-2</v>
      </c>
      <c r="U79" s="2253">
        <f t="shared" si="15"/>
        <v>5.4152587586697498E-2</v>
      </c>
      <c r="V79" s="2253"/>
      <c r="W79" s="2253">
        <f t="shared" si="16"/>
        <v>4.8593350383631773E-2</v>
      </c>
    </row>
    <row r="80" spans="1:23" ht="15.75" thickBot="1">
      <c r="A80" s="2106" t="s">
        <v>2005</v>
      </c>
      <c r="B80" s="2141" t="s">
        <v>3</v>
      </c>
      <c r="C80" s="2136" t="s">
        <v>3</v>
      </c>
      <c r="D80" s="2137">
        <f>'Classic Rosso'!L7+2.5*Погонаж!C12+5*Погонаж!D12</f>
        <v>61085</v>
      </c>
      <c r="E80" s="2138">
        <f>'Classic Rosso'!L9+2.5*Погонаж!C13+5*Погонаж!D13</f>
        <v>67925</v>
      </c>
      <c r="F80" s="2141" t="s">
        <v>3</v>
      </c>
      <c r="G80" s="2139">
        <f>'Classic Rosso'!L9+2.5*Погонаж!C15+5*Погонаж!E15</f>
        <v>69050</v>
      </c>
      <c r="H80" s="669"/>
      <c r="I80" s="2106" t="s">
        <v>2005</v>
      </c>
      <c r="J80" s="2141" t="s">
        <v>3</v>
      </c>
      <c r="K80" s="2136" t="s">
        <v>3</v>
      </c>
      <c r="L80" s="2137">
        <v>58110</v>
      </c>
      <c r="M80" s="2138">
        <v>64430</v>
      </c>
      <c r="N80" s="2141" t="s">
        <v>3</v>
      </c>
      <c r="O80" s="2139">
        <v>65805</v>
      </c>
      <c r="Q80" s="2106" t="s">
        <v>2005</v>
      </c>
      <c r="R80" s="2253"/>
      <c r="S80" s="2253"/>
      <c r="T80" s="2253">
        <f t="shared" si="14"/>
        <v>5.1196007571846502E-2</v>
      </c>
      <c r="U80" s="2253">
        <f t="shared" si="15"/>
        <v>5.4244916964147238E-2</v>
      </c>
      <c r="V80" s="2253"/>
      <c r="W80" s="2253">
        <f t="shared" si="16"/>
        <v>4.9312362282501354E-2</v>
      </c>
    </row>
    <row r="81" spans="1:23" ht="15.75" thickBot="1">
      <c r="A81" s="2111" t="s">
        <v>2006</v>
      </c>
      <c r="B81" s="2144" t="s">
        <v>3</v>
      </c>
      <c r="C81" s="2122" t="s">
        <v>3</v>
      </c>
      <c r="D81" s="2121">
        <f>'Classic Rimini '!G6+2.5*Погонаж!C12+5*Погонаж!D12</f>
        <v>46885</v>
      </c>
      <c r="E81" s="2120">
        <f>'Classic Rimini '!G7+2.5*Погонаж!C13+5*Погонаж!D13</f>
        <v>50575</v>
      </c>
      <c r="F81" s="2144" t="s">
        <v>3</v>
      </c>
      <c r="G81" s="2123">
        <f>'Classic Rimini '!G8+2.5*Погонаж!C15+5*Погонаж!E15</f>
        <v>54850</v>
      </c>
      <c r="H81" s="669"/>
      <c r="I81" s="2111" t="s">
        <v>2006</v>
      </c>
      <c r="J81" s="2144" t="s">
        <v>3</v>
      </c>
      <c r="K81" s="2122" t="s">
        <v>3</v>
      </c>
      <c r="L81" s="2121">
        <v>44670</v>
      </c>
      <c r="M81" s="2120">
        <v>47990</v>
      </c>
      <c r="N81" s="2144" t="s">
        <v>3</v>
      </c>
      <c r="O81" s="2123">
        <v>52365</v>
      </c>
      <c r="Q81" s="2111" t="s">
        <v>2006</v>
      </c>
      <c r="R81" s="2253"/>
      <c r="S81" s="2253"/>
      <c r="T81" s="2253">
        <f t="shared" si="14"/>
        <v>4.9585851802104397E-2</v>
      </c>
      <c r="U81" s="2253">
        <f t="shared" si="15"/>
        <v>5.3865388622629684E-2</v>
      </c>
      <c r="V81" s="2253"/>
      <c r="W81" s="2253">
        <f t="shared" si="16"/>
        <v>4.745536140551887E-2</v>
      </c>
    </row>
    <row r="82" spans="1:23" ht="15.75" thickBot="1">
      <c r="A82" s="2112" t="s">
        <v>2007</v>
      </c>
      <c r="B82" s="2128" t="s">
        <v>3</v>
      </c>
      <c r="C82" s="2126" t="s">
        <v>3</v>
      </c>
      <c r="D82" s="2125">
        <f>'Classic Rimini '!H6+2.5*Погонаж!C12+5*Погонаж!D12</f>
        <v>47685</v>
      </c>
      <c r="E82" s="2124">
        <f>'Classic Rimini '!H7+2.5*Погонаж!C13+5*Погонаж!D13</f>
        <v>51375</v>
      </c>
      <c r="F82" s="2128" t="s">
        <v>3</v>
      </c>
      <c r="G82" s="2127">
        <f>'Classic Rimini '!H8+2.5*Погонаж!C15+5*Погонаж!E15</f>
        <v>55650</v>
      </c>
      <c r="H82" s="669"/>
      <c r="I82" s="2252" t="s">
        <v>2007</v>
      </c>
      <c r="J82" s="2128" t="s">
        <v>3</v>
      </c>
      <c r="K82" s="2126" t="s">
        <v>3</v>
      </c>
      <c r="L82" s="2125">
        <v>45410</v>
      </c>
      <c r="M82" s="2124">
        <v>48730</v>
      </c>
      <c r="N82" s="2128" t="s">
        <v>3</v>
      </c>
      <c r="O82" s="2127">
        <v>53105</v>
      </c>
      <c r="Q82" s="2252" t="s">
        <v>2007</v>
      </c>
      <c r="R82" s="2253"/>
      <c r="S82" s="2253"/>
      <c r="T82" s="2253">
        <f t="shared" si="14"/>
        <v>5.0099097115172908E-2</v>
      </c>
      <c r="U82" s="2253">
        <f t="shared" si="15"/>
        <v>5.4278678432177374E-2</v>
      </c>
      <c r="V82" s="2253"/>
      <c r="W82" s="2253">
        <f t="shared" si="16"/>
        <v>4.7923924300913301E-2</v>
      </c>
    </row>
    <row r="83" spans="1:23" ht="15.75" thickBot="1">
      <c r="A83" s="2113" t="s">
        <v>681</v>
      </c>
      <c r="B83" s="2141" t="s">
        <v>3</v>
      </c>
      <c r="C83" s="2136" t="s">
        <v>3</v>
      </c>
      <c r="D83" s="2137">
        <f>'Classic Rimini '!G8+2.5*Погонаж!C12+5*Погонаж!D12</f>
        <v>52475</v>
      </c>
      <c r="E83" s="2138">
        <f>'Classic Rimini '!I7+2.5*Погонаж!C13+5*Погонаж!D13</f>
        <v>52175</v>
      </c>
      <c r="F83" s="2141" t="s">
        <v>3</v>
      </c>
      <c r="G83" s="2139">
        <f>'Classic Rimini '!I8+2.5*Погонаж!C15+5*Погонаж!E15</f>
        <v>56450</v>
      </c>
      <c r="H83" s="669"/>
      <c r="I83" s="2113" t="s">
        <v>681</v>
      </c>
      <c r="J83" s="2141" t="s">
        <v>3</v>
      </c>
      <c r="K83" s="2136" t="s">
        <v>3</v>
      </c>
      <c r="L83" s="2137">
        <v>49990</v>
      </c>
      <c r="M83" s="2138">
        <v>49470</v>
      </c>
      <c r="N83" s="2141" t="s">
        <v>3</v>
      </c>
      <c r="O83" s="2139">
        <v>53845</v>
      </c>
      <c r="Q83" s="2113" t="s">
        <v>681</v>
      </c>
      <c r="R83" s="2253"/>
      <c r="S83" s="2253"/>
      <c r="T83" s="2253">
        <f t="shared" si="14"/>
        <v>4.9709941988397732E-2</v>
      </c>
      <c r="U83" s="2253">
        <f t="shared" si="15"/>
        <v>5.4679603800283028E-2</v>
      </c>
      <c r="V83" s="2253"/>
      <c r="W83" s="2253">
        <f t="shared" si="16"/>
        <v>4.8379608134460073E-2</v>
      </c>
    </row>
    <row r="84" spans="1:23" ht="15.75" thickBot="1">
      <c r="A84" s="2114" t="s">
        <v>2017</v>
      </c>
      <c r="B84" s="2137">
        <f>Louver!G6+2.5*Погонаж!C11+5*Погонаж!D11</f>
        <v>46450</v>
      </c>
      <c r="C84" s="2152" t="s">
        <v>3</v>
      </c>
      <c r="D84" s="2163" t="s">
        <v>3</v>
      </c>
      <c r="E84" s="2152" t="s">
        <v>3</v>
      </c>
      <c r="F84" s="2163" t="s">
        <v>3</v>
      </c>
      <c r="G84" s="2164" t="s">
        <v>3</v>
      </c>
      <c r="H84" s="669"/>
      <c r="I84" s="2114" t="s">
        <v>2017</v>
      </c>
      <c r="J84" s="2137">
        <v>44245</v>
      </c>
      <c r="K84" s="2152" t="s">
        <v>3</v>
      </c>
      <c r="L84" s="2163" t="s">
        <v>3</v>
      </c>
      <c r="M84" s="2152" t="s">
        <v>3</v>
      </c>
      <c r="N84" s="2163" t="s">
        <v>3</v>
      </c>
      <c r="O84" s="2164" t="s">
        <v>3</v>
      </c>
      <c r="Q84" s="2114" t="s">
        <v>2017</v>
      </c>
      <c r="R84" s="2253">
        <f>B84/J84-1</f>
        <v>4.9836139676799673E-2</v>
      </c>
      <c r="S84" s="2253"/>
      <c r="T84" s="2253"/>
      <c r="U84" s="2253"/>
      <c r="V84" s="2253"/>
      <c r="W84" s="2253"/>
    </row>
    <row r="85" spans="1:23">
      <c r="A85" s="669"/>
      <c r="B85" s="2118"/>
      <c r="C85" s="2118"/>
      <c r="D85" s="2118"/>
      <c r="E85" s="2118"/>
      <c r="F85" s="2118"/>
      <c r="G85" s="2118"/>
      <c r="H85" s="669"/>
      <c r="I85" s="669"/>
      <c r="J85" s="2118"/>
      <c r="K85" s="2118"/>
      <c r="L85" s="2118"/>
      <c r="M85" s="2118"/>
      <c r="N85" s="2118"/>
      <c r="O85" s="2118"/>
      <c r="Q85" s="669"/>
      <c r="R85" s="2118"/>
      <c r="S85" s="2118"/>
      <c r="T85" s="2118"/>
      <c r="U85" s="2118"/>
      <c r="V85" s="2118"/>
      <c r="W85" s="2118"/>
    </row>
    <row r="86" spans="1:23">
      <c r="A86" s="669"/>
      <c r="B86" s="2118"/>
      <c r="C86" s="2118"/>
      <c r="D86" s="2118"/>
      <c r="E86" s="2118"/>
      <c r="F86" s="2118"/>
      <c r="G86" s="2118"/>
      <c r="H86" s="669"/>
      <c r="I86" s="669"/>
      <c r="J86" s="2118"/>
      <c r="K86" s="2118"/>
      <c r="L86" s="2118"/>
      <c r="M86" s="2118"/>
      <c r="N86" s="2118"/>
      <c r="O86" s="2118"/>
      <c r="Q86" s="669"/>
      <c r="R86" s="2118"/>
      <c r="S86" s="2118"/>
      <c r="T86" s="2118"/>
      <c r="U86" s="2118"/>
      <c r="V86" s="2118"/>
      <c r="W86" s="2118"/>
    </row>
    <row r="87" spans="1:23">
      <c r="A87" s="669"/>
      <c r="B87" s="2118"/>
      <c r="C87" s="2118"/>
      <c r="D87" s="2118"/>
      <c r="E87" s="2118"/>
      <c r="F87" s="2118"/>
      <c r="G87" s="2118"/>
      <c r="H87" s="669"/>
      <c r="I87" s="669"/>
      <c r="J87" s="2118"/>
      <c r="K87" s="2118"/>
      <c r="L87" s="2118"/>
      <c r="M87" s="2118"/>
      <c r="N87" s="2118"/>
      <c r="O87" s="2118"/>
      <c r="Q87" s="669"/>
      <c r="R87" s="2118"/>
      <c r="S87" s="2118"/>
      <c r="T87" s="2118"/>
      <c r="U87" s="2118"/>
      <c r="V87" s="2118"/>
      <c r="W87" s="2118"/>
    </row>
    <row r="88" spans="1:23">
      <c r="A88" s="669"/>
      <c r="B88" s="2118"/>
      <c r="C88" s="2118"/>
      <c r="D88" s="2118"/>
      <c r="E88" s="2118"/>
      <c r="F88" s="2118"/>
      <c r="G88" s="2118"/>
      <c r="H88" s="669"/>
      <c r="I88" s="669"/>
      <c r="J88" s="2118"/>
      <c r="K88" s="2118"/>
      <c r="L88" s="2118"/>
      <c r="M88" s="2118"/>
      <c r="N88" s="2118"/>
      <c r="O88" s="2118"/>
      <c r="Q88" s="669"/>
      <c r="R88" s="2118"/>
      <c r="S88" s="2118"/>
      <c r="T88" s="2118"/>
      <c r="U88" s="2118"/>
      <c r="V88" s="2118"/>
      <c r="W88" s="2118"/>
    </row>
    <row r="89" spans="1:23">
      <c r="A89" s="669"/>
      <c r="B89" s="2118"/>
      <c r="C89" s="2118"/>
      <c r="D89" s="2118"/>
      <c r="E89" s="2118"/>
      <c r="F89" s="2118"/>
      <c r="G89" s="2118"/>
      <c r="H89" s="669"/>
      <c r="I89" s="669"/>
      <c r="J89" s="2118"/>
      <c r="K89" s="2118"/>
      <c r="L89" s="2118"/>
      <c r="M89" s="2118"/>
      <c r="N89" s="2118"/>
      <c r="O89" s="2118"/>
      <c r="Q89" s="669"/>
      <c r="R89" s="2118"/>
      <c r="S89" s="2118"/>
      <c r="T89" s="2118"/>
      <c r="U89" s="2118"/>
      <c r="V89" s="2118"/>
      <c r="W89" s="2118"/>
    </row>
    <row r="90" spans="1:23">
      <c r="A90" s="669"/>
      <c r="B90" s="2118"/>
      <c r="C90" s="2118"/>
      <c r="D90" s="2118"/>
      <c r="E90" s="2118"/>
      <c r="F90" s="2118"/>
      <c r="G90" s="2118"/>
      <c r="H90" s="669"/>
      <c r="I90" s="669"/>
      <c r="J90" s="2118"/>
      <c r="K90" s="2118"/>
      <c r="L90" s="2118"/>
      <c r="M90" s="2118"/>
      <c r="N90" s="2118"/>
      <c r="O90" s="2118"/>
      <c r="Q90" s="669"/>
      <c r="R90" s="2118"/>
      <c r="S90" s="2118"/>
      <c r="T90" s="2118"/>
      <c r="U90" s="2118"/>
      <c r="V90" s="2118"/>
      <c r="W90" s="2118"/>
    </row>
    <row r="91" spans="1:23">
      <c r="A91" s="669"/>
      <c r="B91" s="2118"/>
      <c r="C91" s="2118"/>
      <c r="D91" s="2118"/>
      <c r="E91" s="2118"/>
      <c r="F91" s="2118"/>
      <c r="G91" s="2118"/>
      <c r="H91" s="669"/>
      <c r="I91" s="669"/>
      <c r="J91" s="2118"/>
      <c r="K91" s="2118"/>
      <c r="L91" s="2118"/>
      <c r="M91" s="2118"/>
      <c r="N91" s="2118"/>
      <c r="O91" s="2118"/>
      <c r="Q91" s="669"/>
      <c r="R91" s="2118"/>
      <c r="S91" s="2118"/>
      <c r="T91" s="2118"/>
      <c r="U91" s="2118"/>
      <c r="V91" s="2118"/>
      <c r="W91" s="2118"/>
    </row>
  </sheetData>
  <mergeCells count="14">
    <mergeCell ref="Q3:W3"/>
    <mergeCell ref="Q5:Q7"/>
    <mergeCell ref="R5:W5"/>
    <mergeCell ref="T6:W6"/>
    <mergeCell ref="I3:O3"/>
    <mergeCell ref="I5:I7"/>
    <mergeCell ref="J5:O5"/>
    <mergeCell ref="L6:O6"/>
    <mergeCell ref="J6:K6"/>
    <mergeCell ref="D6:G6"/>
    <mergeCell ref="A5:A7"/>
    <mergeCell ref="B5:G5"/>
    <mergeCell ref="A3:G3"/>
    <mergeCell ref="B6:C6"/>
  </mergeCells>
  <hyperlinks>
    <hyperlink ref="A1" location="Содержание!A1" display="Вернуться в содержание"/>
    <hyperlink ref="I1" location="Содержание!A1" display="Вернуться в содержание"/>
    <hyperlink ref="Q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O14"/>
  <sheetViews>
    <sheetView view="pageBreakPreview" zoomScale="115" zoomScaleNormal="100" zoomScaleSheetLayoutView="115" workbookViewId="0">
      <selection activeCell="M11" sqref="M11"/>
    </sheetView>
  </sheetViews>
  <sheetFormatPr defaultRowHeight="15"/>
  <cols>
    <col min="1" max="1" width="16.140625" customWidth="1"/>
    <col min="2" max="8" width="8.28515625" customWidth="1"/>
    <col min="9" max="9" width="13.140625" customWidth="1"/>
  </cols>
  <sheetData>
    <row r="1" spans="1:15" s="11" customFormat="1" ht="18" customHeight="1">
      <c r="A1" s="2165" t="s">
        <v>307</v>
      </c>
      <c r="B1" s="2166"/>
      <c r="C1" s="2115"/>
      <c r="D1" s="2115"/>
      <c r="E1" s="2115"/>
      <c r="F1" s="2115"/>
      <c r="G1" s="24"/>
      <c r="H1" s="24"/>
      <c r="I1" s="24"/>
      <c r="J1" s="319"/>
      <c r="K1" s="319"/>
      <c r="L1" s="319"/>
      <c r="M1" s="319"/>
    </row>
    <row r="2" spans="1:15" s="471" customFormat="1" ht="18" customHeight="1">
      <c r="A2" s="5"/>
      <c r="B2" s="2116"/>
      <c r="C2" s="2116"/>
      <c r="D2" s="2116"/>
      <c r="E2" s="2116"/>
      <c r="F2" s="2116"/>
      <c r="G2" s="2117"/>
      <c r="H2" s="2117"/>
      <c r="I2" s="13"/>
      <c r="J2" s="211"/>
      <c r="K2" s="211"/>
      <c r="L2" s="211"/>
      <c r="M2" s="211"/>
      <c r="N2" s="211"/>
      <c r="O2" s="211"/>
    </row>
    <row r="3" spans="1:15" s="471" customFormat="1" ht="68.25" customHeight="1">
      <c r="A3" s="2856" t="s">
        <v>2168</v>
      </c>
      <c r="B3" s="2857"/>
      <c r="C3" s="2857"/>
      <c r="D3" s="2857"/>
      <c r="E3" s="2857"/>
      <c r="F3" s="2857"/>
      <c r="G3" s="2857"/>
      <c r="H3" s="2858"/>
      <c r="I3" s="211"/>
      <c r="J3" s="211"/>
      <c r="K3" s="211"/>
      <c r="L3" s="211"/>
      <c r="M3" s="211"/>
      <c r="N3" s="211"/>
      <c r="O3" s="211"/>
    </row>
    <row r="4" spans="1:15" s="471" customFormat="1">
      <c r="B4" s="2119"/>
      <c r="C4" s="2119"/>
      <c r="D4" s="2119"/>
      <c r="E4" s="2119"/>
      <c r="F4" s="2119"/>
      <c r="G4" s="2119"/>
      <c r="H4" s="2119"/>
    </row>
    <row r="5" spans="1:15" s="471" customFormat="1">
      <c r="A5" s="2861" t="s">
        <v>1977</v>
      </c>
      <c r="B5" s="2869" t="s">
        <v>1971</v>
      </c>
      <c r="C5" s="2869"/>
      <c r="D5" s="2869"/>
      <c r="E5" s="2869"/>
      <c r="F5" s="2869"/>
      <c r="G5" s="2869"/>
      <c r="H5" s="2869"/>
      <c r="I5" s="2875" t="s">
        <v>1768</v>
      </c>
    </row>
    <row r="6" spans="1:15" s="471" customFormat="1" ht="15" customHeight="1">
      <c r="A6" s="2862"/>
      <c r="B6" s="2876" t="s">
        <v>160</v>
      </c>
      <c r="C6" s="2876"/>
      <c r="D6" s="2876"/>
      <c r="E6" s="2869" t="s">
        <v>529</v>
      </c>
      <c r="F6" s="2869"/>
      <c r="G6" s="2869"/>
      <c r="H6" s="2869"/>
      <c r="I6" s="2875"/>
    </row>
    <row r="7" spans="1:15" s="471" customFormat="1" ht="15.75" thickBot="1">
      <c r="A7" s="2863"/>
      <c r="B7" s="2336" t="s">
        <v>231</v>
      </c>
      <c r="C7" s="2337" t="s">
        <v>207</v>
      </c>
      <c r="D7" s="2336" t="s">
        <v>1978</v>
      </c>
      <c r="E7" s="2337" t="s">
        <v>1281</v>
      </c>
      <c r="F7" s="2336" t="s">
        <v>1287</v>
      </c>
      <c r="G7" s="2337" t="s">
        <v>1806</v>
      </c>
      <c r="H7" s="2336" t="s">
        <v>1293</v>
      </c>
      <c r="I7" s="2875"/>
    </row>
    <row r="8" spans="1:15" s="471" customFormat="1">
      <c r="A8" s="2095" t="s">
        <v>2018</v>
      </c>
      <c r="B8" s="2124">
        <f>Techno_Porte!G7+Алюм.погонаж!E6</f>
        <v>29050</v>
      </c>
      <c r="C8" s="2125">
        <f>Techno_Porte!G8+Алюм.погонаж!E6</f>
        <v>32850</v>
      </c>
      <c r="D8" s="2126" t="s">
        <v>3</v>
      </c>
      <c r="E8" s="2125">
        <f>Techno_Porte!G9+Алюм.погонаж!E6</f>
        <v>34920</v>
      </c>
      <c r="F8" s="2124">
        <f>Techno_Porte!G10+Алюм.погонаж!E6</f>
        <v>36500</v>
      </c>
      <c r="G8" s="2125">
        <f>Techno_Porte!G11+Алюм.погонаж!E6</f>
        <v>37520</v>
      </c>
      <c r="H8" s="2124">
        <f>Techno_Porte!G12+Алюм.погонаж!E6</f>
        <v>38540</v>
      </c>
      <c r="I8" s="2128" t="s">
        <v>3</v>
      </c>
    </row>
    <row r="9" spans="1:15" s="471" customFormat="1">
      <c r="A9" s="2096" t="s">
        <v>2019</v>
      </c>
      <c r="B9" s="2124">
        <f>Techno_Porte!H7++Алюм.погонаж!E6</f>
        <v>44850</v>
      </c>
      <c r="C9" s="2125">
        <f>Techno_Porte!H8+Алюм.погонаж!E6</f>
        <v>46550</v>
      </c>
      <c r="D9" s="2126" t="s">
        <v>3</v>
      </c>
      <c r="E9" s="2125">
        <f>Techno_Porte!H9+Алюм.погонаж!E6</f>
        <v>48150</v>
      </c>
      <c r="F9" s="2124">
        <f>Techno_Porte!H10+Алюм.погонаж!E6</f>
        <v>49300</v>
      </c>
      <c r="G9" s="2125">
        <f>Techno_Porte!H11+Алюм.погонаж!E6</f>
        <v>50100</v>
      </c>
      <c r="H9" s="2124">
        <f>Techno_Porte!H12+Алюм.погонаж!E6</f>
        <v>50850</v>
      </c>
      <c r="I9" s="2128" t="s">
        <v>3</v>
      </c>
    </row>
    <row r="10" spans="1:15" s="471" customFormat="1">
      <c r="A10" s="2096" t="s">
        <v>2020</v>
      </c>
      <c r="B10" s="2124">
        <f>Techno_Porte!I7++Алюм.погонаж!E6</f>
        <v>52750</v>
      </c>
      <c r="C10" s="2125" t="s">
        <v>3</v>
      </c>
      <c r="D10" s="2126" t="s">
        <v>3</v>
      </c>
      <c r="E10" s="2128" t="s">
        <v>3</v>
      </c>
      <c r="F10" s="2126" t="s">
        <v>3</v>
      </c>
      <c r="G10" s="2128" t="s">
        <v>3</v>
      </c>
      <c r="H10" s="2126" t="s">
        <v>3</v>
      </c>
      <c r="I10" s="2128" t="s">
        <v>3</v>
      </c>
    </row>
    <row r="11" spans="1:15" s="471" customFormat="1">
      <c r="A11" s="2096" t="s">
        <v>1974</v>
      </c>
      <c r="B11" s="2124">
        <f>Techno_Porte!J7++Алюм.погонаж!E6</f>
        <v>32850</v>
      </c>
      <c r="C11" s="2125">
        <f>Techno_Porte!J8++Алюм.погонаж!E6</f>
        <v>37600</v>
      </c>
      <c r="D11" s="2126" t="s">
        <v>3</v>
      </c>
      <c r="E11" s="2125">
        <f>Techno_Porte!J9+Алюм.погонаж!E6</f>
        <v>40187.5</v>
      </c>
      <c r="F11" s="2124">
        <f>Techno_Porte!J10+Алюм.погонаж!E6</f>
        <v>42162.5</v>
      </c>
      <c r="G11" s="2125">
        <f>Techno_Porte!J11+Алюм.погонаж!E6</f>
        <v>43437.5</v>
      </c>
      <c r="H11" s="2124">
        <f>Techno_Porte!J12+Алюм.погонаж!E6</f>
        <v>44712.5</v>
      </c>
      <c r="I11" s="2128" t="s">
        <v>3</v>
      </c>
    </row>
    <row r="12" spans="1:15" s="471" customFormat="1">
      <c r="A12" s="2096" t="s">
        <v>2021</v>
      </c>
      <c r="B12" s="2124">
        <f>Techno_Porte!K7++Алюм.погонаж!E6</f>
        <v>48750</v>
      </c>
      <c r="C12" s="2125">
        <f>Techno_Porte!K8++Алюм.погонаж!E6</f>
        <v>53500</v>
      </c>
      <c r="D12" s="2126" t="s">
        <v>3</v>
      </c>
      <c r="E12" s="2125">
        <f>Techno_Porte!K9+Алюм.погонаж!E6</f>
        <v>56087.5</v>
      </c>
      <c r="F12" s="2124">
        <f>Techno_Porte!K10+Алюм.погонаж!E6</f>
        <v>58062.5</v>
      </c>
      <c r="G12" s="2125">
        <f>Techno_Porte!K11+Алюм.погонаж!E6</f>
        <v>59337.5</v>
      </c>
      <c r="H12" s="2124">
        <f>Techno_Porte!K12+Алюм.погонаж!E6</f>
        <v>60612.5</v>
      </c>
      <c r="I12" s="2128" t="s">
        <v>3</v>
      </c>
    </row>
    <row r="13" spans="1:15" s="471" customFormat="1">
      <c r="A13" s="2097" t="s">
        <v>2022</v>
      </c>
      <c r="B13" s="2124">
        <f>Techno_Porte!L7++Алюм.погонаж!E6</f>
        <v>56150</v>
      </c>
      <c r="C13" s="2125" t="s">
        <v>3</v>
      </c>
      <c r="D13" s="2126" t="s">
        <v>3</v>
      </c>
      <c r="E13" s="2128" t="s">
        <v>3</v>
      </c>
      <c r="F13" s="2126" t="s">
        <v>3</v>
      </c>
      <c r="G13" s="2128" t="s">
        <v>3</v>
      </c>
      <c r="H13" s="2126" t="s">
        <v>3</v>
      </c>
      <c r="I13" s="2128" t="s">
        <v>3</v>
      </c>
    </row>
    <row r="14" spans="1:15" ht="32.25" customHeight="1">
      <c r="A14" s="2335" t="s">
        <v>2169</v>
      </c>
      <c r="B14" s="2124" t="s">
        <v>3</v>
      </c>
      <c r="C14" s="2125" t="s">
        <v>3</v>
      </c>
      <c r="D14" s="2124" t="s">
        <v>3</v>
      </c>
      <c r="E14" s="2128" t="s">
        <v>3</v>
      </c>
      <c r="F14" s="2124" t="s">
        <v>3</v>
      </c>
      <c r="G14" s="2125" t="s">
        <v>3</v>
      </c>
      <c r="H14" s="2124" t="s">
        <v>3</v>
      </c>
      <c r="I14" s="2338">
        <f>1.6*Steel_Meta_Frame!E6+Алюм.погонаж!F6</f>
        <v>53016</v>
      </c>
    </row>
  </sheetData>
  <mergeCells count="6">
    <mergeCell ref="I5:I7"/>
    <mergeCell ref="E6:H6"/>
    <mergeCell ref="A3:H3"/>
    <mergeCell ref="A5:A7"/>
    <mergeCell ref="B5:H5"/>
    <mergeCell ref="B6:D6"/>
  </mergeCells>
  <hyperlinks>
    <hyperlink ref="A1" location="Содержание!A1" display="Вернуться в содержание"/>
  </hyperlinks>
  <pageMargins left="0.7" right="0.7" top="0.75" bottom="0.75" header="0.3" footer="0.3"/>
  <pageSetup paperSize="9" scale="9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48">
    <tabColor rgb="FF92D050"/>
  </sheetPr>
  <dimension ref="A1:AI50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H19" sqref="H19"/>
    </sheetView>
  </sheetViews>
  <sheetFormatPr defaultColWidth="8.85546875" defaultRowHeight="18" customHeight="1"/>
  <cols>
    <col min="1" max="1" width="5.7109375" style="471" customWidth="1"/>
    <col min="2" max="3" width="11.7109375" style="471" customWidth="1"/>
    <col min="4" max="4" width="17.7109375" style="471" customWidth="1"/>
    <col min="5" max="5" width="11.7109375" style="471" customWidth="1"/>
    <col min="6" max="6" width="11.7109375" style="2" customWidth="1"/>
    <col min="7" max="12" width="20.7109375" style="471" customWidth="1"/>
    <col min="13" max="13" width="20.7109375" style="471" hidden="1" customWidth="1"/>
    <col min="14" max="14" width="20.7109375" style="471" customWidth="1"/>
    <col min="15" max="16384" width="8.85546875" style="471"/>
  </cols>
  <sheetData>
    <row r="1" spans="1:35" ht="18" customHeight="1">
      <c r="A1" s="655"/>
      <c r="B1" s="1028" t="s">
        <v>307</v>
      </c>
      <c r="C1" s="382"/>
      <c r="D1" s="24"/>
      <c r="E1" s="24"/>
      <c r="F1" s="4"/>
      <c r="G1" s="24"/>
      <c r="H1" s="24"/>
      <c r="I1" s="24"/>
      <c r="J1" s="24"/>
      <c r="K1" s="24"/>
      <c r="L1" s="24"/>
      <c r="M1" s="24"/>
      <c r="N1" s="780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</row>
    <row r="3" spans="1:35" ht="85.5" customHeight="1">
      <c r="A3" s="7"/>
      <c r="G3" s="357"/>
      <c r="H3" s="13"/>
      <c r="I3" s="357"/>
      <c r="J3" s="357"/>
      <c r="K3" s="211"/>
      <c r="L3" s="211"/>
      <c r="M3" s="357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</row>
    <row r="4" spans="1:35" ht="18" customHeight="1">
      <c r="A4" s="655"/>
      <c r="B4" s="17" t="s">
        <v>54</v>
      </c>
      <c r="C4" s="17"/>
      <c r="D4" s="655"/>
      <c r="E4" s="655"/>
      <c r="F4" s="6"/>
      <c r="G4" s="655"/>
      <c r="H4" s="1656"/>
      <c r="I4" s="357"/>
      <c r="J4" s="357"/>
      <c r="K4" s="211"/>
      <c r="L4" s="211"/>
      <c r="M4" s="357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5" ht="18" customHeight="1">
      <c r="A5" s="2879" t="s">
        <v>1</v>
      </c>
      <c r="B5" s="2879"/>
      <c r="C5" s="2879"/>
      <c r="D5" s="2879" t="s">
        <v>39</v>
      </c>
      <c r="E5" s="2879" t="s">
        <v>38</v>
      </c>
      <c r="F5" s="2879" t="s">
        <v>50</v>
      </c>
      <c r="G5" s="2880" t="s">
        <v>1147</v>
      </c>
      <c r="H5" s="2016" t="s">
        <v>1145</v>
      </c>
      <c r="I5" s="2016" t="s">
        <v>1146</v>
      </c>
      <c r="J5" s="2016" t="s">
        <v>1242</v>
      </c>
      <c r="K5" s="2016" t="s">
        <v>1243</v>
      </c>
      <c r="L5" s="2016" t="s">
        <v>2066</v>
      </c>
      <c r="M5" s="1096" t="s">
        <v>1201</v>
      </c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</row>
    <row r="6" spans="1:35" ht="43.5" customHeight="1">
      <c r="A6" s="2879"/>
      <c r="B6" s="2879"/>
      <c r="C6" s="2879"/>
      <c r="D6" s="2879"/>
      <c r="E6" s="2879"/>
      <c r="F6" s="2879"/>
      <c r="G6" s="2880"/>
      <c r="H6" s="2043" t="s">
        <v>1517</v>
      </c>
      <c r="I6" s="2043" t="s">
        <v>1518</v>
      </c>
      <c r="J6" s="2044" t="s">
        <v>1148</v>
      </c>
      <c r="K6" s="2043" t="s">
        <v>1519</v>
      </c>
      <c r="L6" s="2043" t="s">
        <v>1518</v>
      </c>
      <c r="M6" s="1097" t="s">
        <v>1202</v>
      </c>
      <c r="N6" s="211" t="s">
        <v>4</v>
      </c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</row>
    <row r="7" spans="1:35" ht="30.75" customHeight="1">
      <c r="A7" s="2884" t="s">
        <v>231</v>
      </c>
      <c r="B7" s="2884"/>
      <c r="C7" s="2884"/>
      <c r="D7" s="2045" t="s">
        <v>1953</v>
      </c>
      <c r="E7" s="2045">
        <v>2000</v>
      </c>
      <c r="F7" s="2021" t="s">
        <v>0</v>
      </c>
      <c r="G7" s="2046">
        <f>'Полотна база'!H8*(1+скидки_наценки!$B$27)*скидки_наценки!$D$10*скидки_наценки!$F$10/скидки_наценки!$B$4</f>
        <v>15200</v>
      </c>
      <c r="H7" s="2046">
        <f>('Полотна база'!O8+2000)*(1+скидки_наценки!$B$27)*скидки_наценки!$D$10*скидки_наценки!$F$10/скидки_наценки!$B$4</f>
        <v>31000</v>
      </c>
      <c r="I7" s="2046">
        <f>'Полотна база'!P9*(1+скидки_наценки!$B$27)*скидки_наценки!$D$10*скидки_наценки!$F$10/скидки_наценки!$B$4</f>
        <v>38900</v>
      </c>
      <c r="J7" s="2046">
        <f>G7*1.25</f>
        <v>19000</v>
      </c>
      <c r="K7" s="2046">
        <f>J7+Алюм.погонаж!E34+Стекла_база!H5+2000</f>
        <v>34900</v>
      </c>
      <c r="L7" s="2242">
        <f>J7+Алюм.погонаж!E34+Стекла_база!H5*2</f>
        <v>42300</v>
      </c>
      <c r="M7" s="717">
        <f>CEILING(G7*1.8, 50)</f>
        <v>27400</v>
      </c>
      <c r="N7" s="477" t="s">
        <v>4</v>
      </c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</row>
    <row r="8" spans="1:35" s="655" customFormat="1" ht="30.75" customHeight="1">
      <c r="A8" s="2877" t="s">
        <v>1952</v>
      </c>
      <c r="B8" s="2877"/>
      <c r="C8" s="2877"/>
      <c r="D8" s="2019" t="s">
        <v>1953</v>
      </c>
      <c r="E8" s="2019" t="s">
        <v>31</v>
      </c>
      <c r="F8" s="2018" t="s">
        <v>0</v>
      </c>
      <c r="G8" s="2047">
        <f>'Полотна база'!H9*(1+скидки_наценки!$B$30)*скидки_наценки!$D$13*скидки_наценки!$F$13/скидки_наценки!$B$4</f>
        <v>19000</v>
      </c>
      <c r="H8" s="2237">
        <f>('Полотна база'!O9+2000)*(1+скидки_наценки!$B$27)*скидки_наценки!$D$10*скидки_наценки!$F$10/скидки_наценки!$B$4</f>
        <v>32700</v>
      </c>
      <c r="I8" s="2047"/>
      <c r="J8" s="2243">
        <f t="shared" ref="J8:J12" si="0">G8*1.25</f>
        <v>23750</v>
      </c>
      <c r="K8" s="2092">
        <f>(J8+G21+Алюм.погонаж!E34)+2000</f>
        <v>39650</v>
      </c>
      <c r="L8" s="2047"/>
      <c r="M8" s="717">
        <f>CEILING(G8*1.8, 50)</f>
        <v>34200</v>
      </c>
      <c r="N8" s="477" t="s">
        <v>4</v>
      </c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</row>
    <row r="9" spans="1:35" s="9" customFormat="1" ht="30.75" customHeight="1">
      <c r="A9" s="2885" t="s">
        <v>25</v>
      </c>
      <c r="B9" s="2878" t="s">
        <v>1292</v>
      </c>
      <c r="C9" s="2878"/>
      <c r="D9" s="2045" t="s">
        <v>1953</v>
      </c>
      <c r="E9" s="2048" t="s">
        <v>31</v>
      </c>
      <c r="F9" s="2049" t="s">
        <v>0</v>
      </c>
      <c r="G9" s="2046">
        <f>'Полотна база'!H10*(1+скидки_наценки!$B$29)*скидки_наценки!$D$13*скидки_наценки!$F$13/скидки_наценки!$B$4</f>
        <v>21070</v>
      </c>
      <c r="H9" s="2236">
        <f>('Полотна база'!O10+2000)*(1+скидки_наценки!$B$27)*скидки_наценки!$D$10*скидки_наценки!$F$10/скидки_наценки!$B$4</f>
        <v>34300</v>
      </c>
      <c r="I9" s="2046"/>
      <c r="J9" s="2241">
        <f t="shared" si="0"/>
        <v>26337.5</v>
      </c>
      <c r="K9" s="2091">
        <f>(J9+G21+Алюм.погонаж!E34)+2000</f>
        <v>42237.5</v>
      </c>
      <c r="L9" s="2046"/>
      <c r="M9" s="717">
        <f>CEILING(G9*1.8, 50)</f>
        <v>37950</v>
      </c>
      <c r="N9" s="477" t="s">
        <v>4</v>
      </c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</row>
    <row r="10" spans="1:35" s="9" customFormat="1" ht="30.75" customHeight="1">
      <c r="A10" s="2885"/>
      <c r="B10" s="2886" t="s">
        <v>1287</v>
      </c>
      <c r="C10" s="2886"/>
      <c r="D10" s="2019" t="s">
        <v>1953</v>
      </c>
      <c r="E10" s="2019" t="s">
        <v>31</v>
      </c>
      <c r="F10" s="2018" t="s">
        <v>0</v>
      </c>
      <c r="G10" s="2047">
        <f>'Полотна база'!H11*(1+скидки_наценки!$B$29)*скидки_наценки!$D$13*скидки_наценки!$F$13/скидки_наценки!$B$4</f>
        <v>22650</v>
      </c>
      <c r="H10" s="2237">
        <f>('Полотна база'!O11+2000)*(1+скидки_наценки!$B$27)*скидки_наценки!$D$10*скидки_наценки!$F$10/скидки_наценки!$B$4</f>
        <v>35450</v>
      </c>
      <c r="I10" s="2047"/>
      <c r="J10" s="2243">
        <f t="shared" si="0"/>
        <v>28312.5</v>
      </c>
      <c r="K10" s="2092">
        <f>(J10+G21+Алюм.погонаж!E34)+2000</f>
        <v>44212.5</v>
      </c>
      <c r="L10" s="2047"/>
      <c r="M10" s="717">
        <f>CEILING(G10*1.8, 50)</f>
        <v>40800</v>
      </c>
      <c r="N10" s="477" t="s">
        <v>4</v>
      </c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</row>
    <row r="11" spans="1:35" s="9" customFormat="1" ht="30.75" customHeight="1">
      <c r="A11" s="2885"/>
      <c r="B11" s="2878" t="s">
        <v>1806</v>
      </c>
      <c r="C11" s="2878"/>
      <c r="D11" s="2045" t="s">
        <v>1953</v>
      </c>
      <c r="E11" s="2020" t="s">
        <v>31</v>
      </c>
      <c r="F11" s="2017" t="s">
        <v>0</v>
      </c>
      <c r="G11" s="2046">
        <f>'Полотна база'!H12*(1+скидки_наценки!$B$29)*скидки_наценки!$D$13*скидки_наценки!$F$13/скидки_наценки!$B$4</f>
        <v>23670</v>
      </c>
      <c r="H11" s="2236">
        <f>('Полотна база'!O12+2000)*(1+скидки_наценки!$B$27)*скидки_наценки!$D$10*скидки_наценки!$F$10/скидки_наценки!$B$4</f>
        <v>36250</v>
      </c>
      <c r="I11" s="2046"/>
      <c r="J11" s="2241">
        <f t="shared" si="0"/>
        <v>29587.5</v>
      </c>
      <c r="K11" s="2091">
        <f>J11+G21+Алюм.погонаж!E34+2000</f>
        <v>45487.5</v>
      </c>
      <c r="L11" s="2046"/>
      <c r="M11" s="1103"/>
      <c r="N11" s="477" t="s">
        <v>4</v>
      </c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</row>
    <row r="12" spans="1:35" s="361" customFormat="1" ht="30.75" customHeight="1">
      <c r="A12" s="2885"/>
      <c r="B12" s="2886" t="s">
        <v>1293</v>
      </c>
      <c r="C12" s="2886"/>
      <c r="D12" s="2019" t="s">
        <v>1953</v>
      </c>
      <c r="E12" s="2019" t="s">
        <v>31</v>
      </c>
      <c r="F12" s="2018" t="s">
        <v>0</v>
      </c>
      <c r="G12" s="2047">
        <f>'Полотна база'!H13*(1+скидки_наценки!$B$29)*скидки_наценки!$D$13*скидки_наценки!$F$13/скидки_наценки!$B$4</f>
        <v>24690</v>
      </c>
      <c r="H12" s="2237">
        <f>('Полотна база'!O13+2000)*(1+скидки_наценки!$B$27)*скидки_наценки!$D$10*скидки_наценки!$F$10/скидки_наценки!$B$4</f>
        <v>37000</v>
      </c>
      <c r="I12" s="2047"/>
      <c r="J12" s="2243">
        <f t="shared" si="0"/>
        <v>30862.5</v>
      </c>
      <c r="K12" s="2092">
        <f>J12+G21+Алюм.погонаж!E34+2000</f>
        <v>46762.5</v>
      </c>
      <c r="L12" s="2047"/>
      <c r="M12" s="717">
        <f>CEILING(G12*1.8, 50)</f>
        <v>44450</v>
      </c>
      <c r="N12" s="477" t="s">
        <v>4</v>
      </c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</row>
    <row r="13" spans="1:35" ht="18" customHeight="1">
      <c r="C13" s="688"/>
      <c r="D13" s="688"/>
      <c r="E13" s="688"/>
      <c r="F13" s="688"/>
      <c r="G13" s="688"/>
      <c r="H13" s="688"/>
      <c r="I13" s="688"/>
      <c r="J13" s="54" t="s">
        <v>1244</v>
      </c>
      <c r="K13" s="688"/>
      <c r="L13" s="688"/>
      <c r="M13" s="688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</row>
    <row r="14" spans="1:35" s="11" customFormat="1" ht="18" customHeight="1">
      <c r="B14" s="53" t="s">
        <v>19</v>
      </c>
      <c r="C14" s="53"/>
      <c r="H14" s="1203"/>
      <c r="I14" s="54"/>
      <c r="J14" s="55"/>
      <c r="K14" s="1188"/>
      <c r="L14" s="471"/>
      <c r="M14" s="55"/>
      <c r="N14" s="211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</row>
    <row r="15" spans="1:35" s="11" customFormat="1" ht="18" customHeight="1">
      <c r="A15" s="2881" t="s">
        <v>2</v>
      </c>
      <c r="B15" s="2882"/>
      <c r="C15" s="2882"/>
      <c r="D15" s="2882"/>
      <c r="E15" s="2882"/>
      <c r="F15" s="2883"/>
      <c r="G15" s="1099" t="str">
        <f t="shared" ref="G15:M15" si="1">G5</f>
        <v>Porte39 -00
(Porte01 )</v>
      </c>
      <c r="H15" s="1096" t="str">
        <f t="shared" si="1"/>
        <v>Porte39-01</v>
      </c>
      <c r="I15" s="1096" t="str">
        <f t="shared" si="1"/>
        <v>Porte39-11</v>
      </c>
      <c r="J15" s="1096" t="str">
        <f t="shared" si="1"/>
        <v>Porte52-00*</v>
      </c>
      <c r="K15" s="1096" t="str">
        <f t="shared" si="1"/>
        <v>Porte52-01*</v>
      </c>
      <c r="L15" s="1096" t="str">
        <f t="shared" si="1"/>
        <v>Porte52-11*</v>
      </c>
      <c r="M15" s="1096" t="str">
        <f t="shared" si="1"/>
        <v>Porte66-00</v>
      </c>
      <c r="N15" s="1387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</row>
    <row r="16" spans="1:35" s="56" customFormat="1" ht="18" customHeight="1">
      <c r="A16" s="2050" t="s">
        <v>47</v>
      </c>
      <c r="B16" s="488"/>
      <c r="C16" s="716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1387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</row>
    <row r="17" spans="1:31" s="57" customFormat="1" ht="24.75" customHeight="1">
      <c r="A17" s="2915" t="s">
        <v>57</v>
      </c>
      <c r="B17" s="2905"/>
      <c r="C17" s="2913" t="s">
        <v>1458</v>
      </c>
      <c r="D17" s="2913"/>
      <c r="E17" s="2916" t="s">
        <v>883</v>
      </c>
      <c r="F17" s="2916"/>
      <c r="G17" s="2182">
        <f>Стекла_база!P5*(1+скидки_наценки!$B$32)*скидки_наценки!$D$13*скидки_наценки!$F$13/скидки_наценки!$B$4</f>
        <v>7800</v>
      </c>
      <c r="H17" s="1025" t="s">
        <v>1192</v>
      </c>
      <c r="I17" s="1025" t="s">
        <v>1192</v>
      </c>
      <c r="J17" s="1025"/>
      <c r="K17" s="1025" t="s">
        <v>1192</v>
      </c>
      <c r="L17" s="1025" t="str">
        <f>I17</f>
        <v>˅</v>
      </c>
      <c r="M17" s="1025"/>
      <c r="N17" s="477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</row>
    <row r="18" spans="1:31" s="57" customFormat="1" ht="24.75" customHeight="1">
      <c r="A18" s="2907"/>
      <c r="B18" s="2908"/>
      <c r="C18" s="2914"/>
      <c r="D18" s="2914"/>
      <c r="E18" s="2917" t="s">
        <v>2042</v>
      </c>
      <c r="F18" s="2918"/>
      <c r="G18" s="1424">
        <f>Стекла_база!AE5*(1+скидки_наценки!$B$32)*скидки_наценки!$D$13*скидки_наценки!$F$13/скидки_наценки!$B$4</f>
        <v>8600</v>
      </c>
      <c r="H18" s="1425">
        <f>G18-G17</f>
        <v>800</v>
      </c>
      <c r="I18" s="1425">
        <f>H18*2</f>
        <v>1600</v>
      </c>
      <c r="J18" s="1425"/>
      <c r="K18" s="1425">
        <f>H18</f>
        <v>800</v>
      </c>
      <c r="L18" s="1425">
        <f>I18</f>
        <v>1600</v>
      </c>
      <c r="M18" s="2030"/>
      <c r="N18" s="477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</row>
    <row r="19" spans="1:31" s="57" customFormat="1" ht="25.5" customHeight="1">
      <c r="A19" s="2907"/>
      <c r="B19" s="2908"/>
      <c r="C19" s="2913"/>
      <c r="D19" s="2913"/>
      <c r="E19" s="2916" t="s">
        <v>907</v>
      </c>
      <c r="F19" s="2916"/>
      <c r="G19" s="2182">
        <f>Стекла_база!AD5*(1+скидки_наценки!$B$32)*скидки_наценки!$D$13*скидки_наценки!$F$13/скидки_наценки!$B$4</f>
        <v>10150</v>
      </c>
      <c r="H19" s="1025">
        <f>G19-G17</f>
        <v>2350</v>
      </c>
      <c r="I19" s="1025">
        <f>H19*2</f>
        <v>4700</v>
      </c>
      <c r="J19" s="1025"/>
      <c r="K19" s="1025">
        <f>H19</f>
        <v>2350</v>
      </c>
      <c r="L19" s="1025">
        <f>I19</f>
        <v>4700</v>
      </c>
      <c r="M19" s="706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</row>
    <row r="20" spans="1:31" s="56" customFormat="1" ht="18" customHeight="1">
      <c r="A20" s="2050" t="s">
        <v>48</v>
      </c>
      <c r="B20" s="657"/>
      <c r="C20" s="725"/>
      <c r="D20" s="657"/>
      <c r="E20" s="657"/>
      <c r="F20" s="657"/>
      <c r="G20" s="1376"/>
      <c r="H20" s="657"/>
      <c r="I20" s="657"/>
      <c r="J20" s="657"/>
      <c r="K20" s="657"/>
      <c r="L20" s="657"/>
      <c r="M20" s="657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</row>
    <row r="21" spans="1:31" s="64" customFormat="1" ht="18" customHeight="1">
      <c r="A21" s="2904" t="s">
        <v>906</v>
      </c>
      <c r="B21" s="2905"/>
      <c r="C21" s="2905"/>
      <c r="D21" s="2906"/>
      <c r="E21" s="2899" t="s">
        <v>868</v>
      </c>
      <c r="F21" s="2900"/>
      <c r="G21" s="2183">
        <f>Стекла_база!Q5*(1+скидки_наценки!$B$32)*скидки_наценки!$D$13*скидки_наценки!$F$13/скидки_наценки!$B$4</f>
        <v>9400</v>
      </c>
      <c r="H21" s="1815" t="s">
        <v>1192</v>
      </c>
      <c r="I21" s="1815" t="s">
        <v>1192</v>
      </c>
      <c r="J21" s="1814"/>
      <c r="K21" s="1815" t="s">
        <v>1192</v>
      </c>
      <c r="L21" s="1815" t="s">
        <v>1192</v>
      </c>
      <c r="M21" s="1025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  <c r="AA21" s="360"/>
      <c r="AB21" s="360"/>
      <c r="AC21" s="360"/>
      <c r="AD21" s="360"/>
      <c r="AE21" s="360"/>
    </row>
    <row r="22" spans="1:31" s="64" customFormat="1" ht="18" customHeight="1" thickBot="1">
      <c r="A22" s="2910"/>
      <c r="B22" s="2911"/>
      <c r="C22" s="2911"/>
      <c r="D22" s="2912"/>
      <c r="E22" s="2901" t="s">
        <v>1389</v>
      </c>
      <c r="F22" s="2902"/>
      <c r="G22" s="1812">
        <f>Стекла_база!R5*(1+скидки_наценки!$B$32)*скидки_наценки!$D$13*скидки_наценки!$F$13/скидки_наценки!$B$4</f>
        <v>13500</v>
      </c>
      <c r="H22" s="1813">
        <f>G22-G21</f>
        <v>4100</v>
      </c>
      <c r="I22" s="1813">
        <f>H22*2</f>
        <v>8200</v>
      </c>
      <c r="J22" s="1813"/>
      <c r="K22" s="1813">
        <f t="shared" ref="K22:L26" si="2">H22</f>
        <v>4100</v>
      </c>
      <c r="L22" s="1813">
        <f t="shared" si="2"/>
        <v>8200</v>
      </c>
      <c r="M22" s="723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  <c r="AC22" s="360"/>
      <c r="AD22" s="360"/>
      <c r="AE22" s="360"/>
    </row>
    <row r="23" spans="1:31" s="64" customFormat="1" ht="18" hidden="1" customHeight="1">
      <c r="A23" s="1825"/>
      <c r="B23" s="1826"/>
      <c r="C23" s="1826"/>
      <c r="D23" s="1826"/>
      <c r="E23" s="2887" t="s">
        <v>871</v>
      </c>
      <c r="F23" s="2888"/>
      <c r="G23" s="1811" t="e">
        <f>CEILING(#REF!*(1+скидки_наценки!$B$32)*скидки_наценки!$D$13*скидки_наценки!$F$13/скидки_наценки!$B$4, 50)</f>
        <v>#REF!</v>
      </c>
      <c r="H23" s="1792"/>
      <c r="I23" s="1792">
        <f>H23*2</f>
        <v>0</v>
      </c>
      <c r="J23" s="1792"/>
      <c r="K23" s="1792">
        <f t="shared" si="2"/>
        <v>0</v>
      </c>
      <c r="L23" s="1792">
        <f t="shared" si="2"/>
        <v>0</v>
      </c>
      <c r="M23" s="724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</row>
    <row r="24" spans="1:31" s="64" customFormat="1" ht="18" customHeight="1" thickTop="1">
      <c r="A24" s="2904" t="s">
        <v>1803</v>
      </c>
      <c r="B24" s="2905"/>
      <c r="C24" s="2905"/>
      <c r="D24" s="2906"/>
      <c r="E24" s="2899" t="s">
        <v>868</v>
      </c>
      <c r="F24" s="2900"/>
      <c r="G24" s="2183">
        <f>Стекла_база!T5*(1+скидки_наценки!$B$32)*скидки_наценки!$D$13*скидки_наценки!$F$13/скидки_наценки!$B$4</f>
        <v>15100</v>
      </c>
      <c r="H24" s="1354">
        <f>G24-G21</f>
        <v>5700</v>
      </c>
      <c r="I24" s="1354">
        <f>H24*2</f>
        <v>11400</v>
      </c>
      <c r="J24" s="1354"/>
      <c r="K24" s="1354">
        <f t="shared" si="2"/>
        <v>5700</v>
      </c>
      <c r="L24" s="1354">
        <f t="shared" si="2"/>
        <v>11400</v>
      </c>
      <c r="M24" s="1807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</row>
    <row r="25" spans="1:31" s="64" customFormat="1" ht="26.25" customHeight="1" thickBot="1">
      <c r="A25" s="2907"/>
      <c r="B25" s="2908"/>
      <c r="C25" s="2908"/>
      <c r="D25" s="2909"/>
      <c r="E25" s="2901" t="s">
        <v>1389</v>
      </c>
      <c r="F25" s="2902"/>
      <c r="G25" s="1424">
        <f>Стекла_база!S5*(1+скидки_наценки!$B$32)*скидки_наценки!$D$13*скидки_наценки!$F$13/скидки_наценки!$B$4</f>
        <v>19300</v>
      </c>
      <c r="H25" s="708">
        <f>G25-G21</f>
        <v>9900</v>
      </c>
      <c r="I25" s="708">
        <f>H25*2</f>
        <v>19800</v>
      </c>
      <c r="J25" s="708"/>
      <c r="K25" s="708">
        <f t="shared" si="2"/>
        <v>9900</v>
      </c>
      <c r="L25" s="708">
        <f t="shared" si="2"/>
        <v>19800</v>
      </c>
      <c r="M25" s="1807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  <c r="Z25" s="360"/>
      <c r="AA25" s="360"/>
      <c r="AB25" s="360"/>
      <c r="AC25" s="360"/>
      <c r="AD25" s="360"/>
      <c r="AE25" s="360"/>
    </row>
    <row r="26" spans="1:31" s="64" customFormat="1" ht="18" hidden="1" customHeight="1">
      <c r="A26" s="1827"/>
      <c r="B26" s="1828"/>
      <c r="C26" s="1828"/>
      <c r="D26" s="1828"/>
      <c r="E26" s="2903" t="s">
        <v>1793</v>
      </c>
      <c r="F26" s="2903"/>
      <c r="G26" s="1811">
        <f>CEILING(Стекла_база!U5*(1+скидки_наценки!$B$32)*скидки_наценки!$D$13*скидки_наценки!$F$13/скидки_наценки!$B$4, 50)</f>
        <v>19300</v>
      </c>
      <c r="H26" s="1792">
        <f>G26-G21</f>
        <v>9900</v>
      </c>
      <c r="I26" s="1792">
        <f>H26*2</f>
        <v>19800</v>
      </c>
      <c r="J26" s="1792"/>
      <c r="K26" s="1792">
        <f t="shared" si="2"/>
        <v>9900</v>
      </c>
      <c r="L26" s="1792">
        <f t="shared" si="2"/>
        <v>19800</v>
      </c>
      <c r="M26" s="1807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</row>
    <row r="27" spans="1:31" s="56" customFormat="1" ht="18" customHeight="1" thickTop="1">
      <c r="A27" s="656" t="s">
        <v>1189</v>
      </c>
      <c r="B27" s="657"/>
      <c r="C27" s="725"/>
      <c r="D27" s="657"/>
      <c r="E27" s="657"/>
      <c r="F27" s="657"/>
      <c r="G27" s="657"/>
      <c r="H27" s="657"/>
      <c r="I27" s="657"/>
      <c r="J27" s="657"/>
      <c r="K27" s="657"/>
      <c r="L27" s="657"/>
      <c r="M27" s="657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</row>
    <row r="28" spans="1:31" s="64" customFormat="1" ht="18" customHeight="1">
      <c r="A28" s="2922" t="s">
        <v>1184</v>
      </c>
      <c r="B28" s="2923"/>
      <c r="C28" s="2923"/>
      <c r="D28" s="2923"/>
      <c r="E28" s="2923"/>
      <c r="F28" s="2924"/>
      <c r="G28" s="727" t="s">
        <v>52</v>
      </c>
      <c r="H28" s="727" t="s">
        <v>52</v>
      </c>
      <c r="I28" s="727"/>
      <c r="J28" s="727" t="s">
        <v>52</v>
      </c>
      <c r="K28" s="727" t="s">
        <v>52</v>
      </c>
      <c r="L28" s="727"/>
      <c r="M28" s="727" t="s">
        <v>52</v>
      </c>
      <c r="N28" s="360"/>
      <c r="O28" s="360"/>
      <c r="P28" s="360"/>
      <c r="Q28" s="360"/>
      <c r="R28" s="360"/>
      <c r="S28" s="360"/>
      <c r="T28" s="360"/>
      <c r="U28" s="360"/>
      <c r="V28" s="360"/>
      <c r="W28" s="360"/>
      <c r="X28" s="360"/>
      <c r="Y28" s="360"/>
      <c r="Z28" s="360"/>
      <c r="AA28" s="360"/>
      <c r="AB28" s="360"/>
      <c r="AC28" s="360"/>
      <c r="AD28" s="360"/>
      <c r="AE28" s="360"/>
    </row>
    <row r="29" spans="1:31" s="64" customFormat="1" ht="18" customHeight="1">
      <c r="A29" s="2896" t="s">
        <v>53</v>
      </c>
      <c r="B29" s="2897"/>
      <c r="C29" s="2897"/>
      <c r="D29" s="2897"/>
      <c r="E29" s="2897"/>
      <c r="F29" s="2898"/>
      <c r="G29" s="1432">
        <v>0</v>
      </c>
      <c r="H29" s="726">
        <v>0</v>
      </c>
      <c r="I29" s="726"/>
      <c r="J29" s="726">
        <v>0</v>
      </c>
      <c r="K29" s="726">
        <v>0</v>
      </c>
      <c r="L29" s="726"/>
      <c r="M29" s="726">
        <v>0.15</v>
      </c>
      <c r="N29" s="360"/>
      <c r="O29" s="360"/>
      <c r="P29" s="360"/>
      <c r="Q29" s="360"/>
      <c r="R29" s="360"/>
      <c r="S29" s="360"/>
      <c r="T29" s="360"/>
      <c r="U29" s="360"/>
      <c r="V29" s="360"/>
      <c r="W29" s="360"/>
      <c r="X29" s="360"/>
      <c r="Y29" s="360"/>
      <c r="Z29" s="360"/>
      <c r="AA29" s="360"/>
      <c r="AB29" s="360"/>
      <c r="AC29" s="360"/>
      <c r="AD29" s="360"/>
      <c r="AE29" s="360"/>
    </row>
    <row r="30" spans="1:31" s="64" customFormat="1" ht="18" customHeight="1">
      <c r="A30" s="2925" t="s">
        <v>1392</v>
      </c>
      <c r="B30" s="2926"/>
      <c r="C30" s="2926"/>
      <c r="D30" s="2926"/>
      <c r="E30" s="2926"/>
      <c r="F30" s="2927"/>
      <c r="G30" s="1464">
        <v>0.25</v>
      </c>
      <c r="H30" s="1464">
        <v>0.15</v>
      </c>
      <c r="I30" s="1464"/>
      <c r="J30" s="1464">
        <v>0.25</v>
      </c>
      <c r="K30" s="1464">
        <v>0.15</v>
      </c>
      <c r="L30" s="1464"/>
      <c r="M30" s="1286"/>
      <c r="N30" s="360"/>
      <c r="O30" s="360"/>
      <c r="P30" s="360"/>
      <c r="Q30" s="360"/>
      <c r="R30" s="360"/>
      <c r="S30" s="360"/>
      <c r="T30" s="360"/>
      <c r="U30" s="360"/>
      <c r="V30" s="360"/>
      <c r="W30" s="360"/>
      <c r="X30" s="360"/>
      <c r="Y30" s="360"/>
      <c r="Z30" s="360"/>
      <c r="AA30" s="360"/>
      <c r="AB30" s="360"/>
      <c r="AC30" s="360"/>
      <c r="AD30" s="360"/>
      <c r="AE30" s="360"/>
    </row>
    <row r="31" spans="1:31" s="56" customFormat="1" ht="18" hidden="1" customHeight="1">
      <c r="A31" s="1426" t="s">
        <v>1190</v>
      </c>
      <c r="B31" s="1427"/>
      <c r="C31" s="1428"/>
      <c r="D31" s="1427"/>
      <c r="E31" s="1427"/>
      <c r="F31" s="1427"/>
      <c r="G31" s="1427"/>
      <c r="H31" s="1427"/>
      <c r="I31" s="1427"/>
      <c r="J31" s="1427"/>
      <c r="K31" s="1427"/>
      <c r="L31" s="1427"/>
      <c r="M31" s="657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</row>
    <row r="32" spans="1:31" s="57" customFormat="1" ht="18" hidden="1" customHeight="1">
      <c r="A32" s="2919" t="s">
        <v>1186</v>
      </c>
      <c r="B32" s="2920"/>
      <c r="C32" s="2920"/>
      <c r="D32" s="2920"/>
      <c r="E32" s="2920"/>
      <c r="F32" s="2921"/>
      <c r="G32" s="1429">
        <v>0.15</v>
      </c>
      <c r="H32" s="1429">
        <f t="shared" ref="H32:M32" si="3">G32</f>
        <v>0.15</v>
      </c>
      <c r="I32" s="1429">
        <f t="shared" si="3"/>
        <v>0.15</v>
      </c>
      <c r="J32" s="1429">
        <f t="shared" si="3"/>
        <v>0.15</v>
      </c>
      <c r="K32" s="1429">
        <f t="shared" si="3"/>
        <v>0.15</v>
      </c>
      <c r="L32" s="1429">
        <f t="shared" si="3"/>
        <v>0.15</v>
      </c>
      <c r="M32" s="1100">
        <f t="shared" si="3"/>
        <v>0.15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</row>
    <row r="33" spans="1:35" s="57" customFormat="1" ht="18" hidden="1" customHeight="1">
      <c r="A33" s="2890" t="s">
        <v>1187</v>
      </c>
      <c r="B33" s="2891"/>
      <c r="C33" s="2891"/>
      <c r="D33" s="2891"/>
      <c r="E33" s="2891"/>
      <c r="F33" s="2892"/>
      <c r="G33" s="1431">
        <v>0.2</v>
      </c>
      <c r="H33" s="1431">
        <f t="shared" ref="H33:M34" si="4">G33</f>
        <v>0.2</v>
      </c>
      <c r="I33" s="1431">
        <f t="shared" si="4"/>
        <v>0.2</v>
      </c>
      <c r="J33" s="1431">
        <f t="shared" si="4"/>
        <v>0.2</v>
      </c>
      <c r="K33" s="1431">
        <f t="shared" si="4"/>
        <v>0.2</v>
      </c>
      <c r="L33" s="1431">
        <f t="shared" si="4"/>
        <v>0.2</v>
      </c>
      <c r="M33" s="1102">
        <f t="shared" si="4"/>
        <v>0.2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</row>
    <row r="34" spans="1:35" s="57" customFormat="1" ht="18" hidden="1" customHeight="1">
      <c r="A34" s="2893" t="s">
        <v>1188</v>
      </c>
      <c r="B34" s="2894"/>
      <c r="C34" s="2894"/>
      <c r="D34" s="2894"/>
      <c r="E34" s="2894"/>
      <c r="F34" s="2895"/>
      <c r="G34" s="1430">
        <v>0.3</v>
      </c>
      <c r="H34" s="1430">
        <f t="shared" si="4"/>
        <v>0.3</v>
      </c>
      <c r="I34" s="1430">
        <f t="shared" si="4"/>
        <v>0.3</v>
      </c>
      <c r="J34" s="1430">
        <f t="shared" si="4"/>
        <v>0.3</v>
      </c>
      <c r="K34" s="1635">
        <f t="shared" si="4"/>
        <v>0.3</v>
      </c>
      <c r="L34" s="1635">
        <f t="shared" si="4"/>
        <v>0.3</v>
      </c>
      <c r="M34" s="1101">
        <f t="shared" si="4"/>
        <v>0.3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</row>
    <row r="35" spans="1:35" ht="18" customHeight="1">
      <c r="B35" s="1094" t="s">
        <v>1182</v>
      </c>
      <c r="C35" s="175"/>
      <c r="F35" s="471"/>
      <c r="K35" s="1636">
        <f>G21</f>
        <v>9400</v>
      </c>
      <c r="L35" s="1636">
        <f>G21*2</f>
        <v>18800</v>
      </c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</row>
    <row r="36" spans="1:35" ht="35.25" customHeight="1">
      <c r="B36" s="2889" t="s">
        <v>1183</v>
      </c>
      <c r="C36" s="2889"/>
      <c r="D36" s="2889"/>
      <c r="E36" s="2889"/>
      <c r="F36" s="2889"/>
      <c r="G36" s="2889"/>
      <c r="H36" s="2889"/>
      <c r="I36" s="2889"/>
      <c r="J36" s="2889"/>
      <c r="K36" s="2889"/>
      <c r="L36" s="2889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</row>
    <row r="37" spans="1:35" ht="20.25" customHeight="1">
      <c r="B37" s="2889" t="s">
        <v>1215</v>
      </c>
      <c r="C37" s="2889"/>
      <c r="D37" s="2889"/>
      <c r="E37" s="2889"/>
      <c r="F37" s="2889"/>
      <c r="G37" s="2889"/>
      <c r="H37" s="2889"/>
      <c r="I37" s="2889"/>
      <c r="J37" s="2889"/>
      <c r="K37" s="2889"/>
      <c r="L37" s="2889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</row>
    <row r="38" spans="1:35" s="303" customFormat="1" ht="18" customHeight="1">
      <c r="A38" s="66"/>
      <c r="B38" s="2889" t="s">
        <v>1496</v>
      </c>
      <c r="C38" s="2889"/>
      <c r="D38" s="2889"/>
      <c r="E38" s="2889"/>
      <c r="F38" s="2889"/>
      <c r="G38" s="2889"/>
      <c r="H38" s="2889"/>
      <c r="I38" s="2889"/>
      <c r="J38" s="2889"/>
      <c r="K38" s="2889"/>
      <c r="L38" s="2889"/>
      <c r="M38" s="48"/>
      <c r="N38" s="211"/>
      <c r="O38" s="360"/>
      <c r="P38" s="360"/>
      <c r="Q38" s="360"/>
      <c r="R38" s="360"/>
      <c r="S38" s="360"/>
      <c r="T38" s="360"/>
      <c r="U38" s="360"/>
      <c r="V38" s="360"/>
      <c r="W38" s="360"/>
      <c r="X38" s="360"/>
      <c r="Y38" s="360"/>
      <c r="Z38" s="360"/>
      <c r="AA38" s="360"/>
      <c r="AB38" s="360"/>
      <c r="AC38" s="360"/>
      <c r="AD38" s="360"/>
      <c r="AE38" s="360"/>
      <c r="AF38" s="360"/>
      <c r="AG38" s="360"/>
      <c r="AH38" s="360"/>
      <c r="AI38" s="360"/>
    </row>
    <row r="39" spans="1:35" s="67" customFormat="1" ht="18" customHeight="1">
      <c r="B39" s="471"/>
      <c r="C39" s="471"/>
      <c r="D39" s="471"/>
      <c r="E39" s="171"/>
      <c r="F39" s="171"/>
      <c r="G39" s="172"/>
      <c r="H39" s="172"/>
      <c r="I39" s="173"/>
      <c r="J39" s="36"/>
      <c r="K39" s="36"/>
      <c r="L39" s="471"/>
      <c r="M39" s="36"/>
      <c r="N39" s="211"/>
      <c r="O39" s="506"/>
      <c r="P39" s="506"/>
      <c r="Q39" s="506"/>
      <c r="R39" s="506"/>
      <c r="S39" s="506"/>
      <c r="T39" s="506"/>
      <c r="U39" s="506"/>
      <c r="V39" s="506"/>
      <c r="W39" s="506"/>
      <c r="X39" s="506"/>
      <c r="Y39" s="506"/>
      <c r="Z39" s="506"/>
      <c r="AA39" s="506"/>
      <c r="AB39" s="506"/>
      <c r="AC39" s="506"/>
      <c r="AD39" s="506"/>
      <c r="AE39" s="506"/>
      <c r="AF39" s="506"/>
      <c r="AG39" s="506"/>
      <c r="AH39" s="506"/>
      <c r="AI39" s="506"/>
    </row>
    <row r="40" spans="1:35" s="67" customFormat="1" ht="18" customHeight="1">
      <c r="B40" s="471"/>
      <c r="C40" s="471"/>
      <c r="D40" s="471"/>
      <c r="E40" s="178"/>
      <c r="F40" s="178"/>
      <c r="G40" s="172"/>
      <c r="H40" s="178"/>
      <c r="I40" s="175"/>
      <c r="J40" s="36"/>
      <c r="K40" s="36"/>
      <c r="L40" s="471"/>
      <c r="M40" s="36"/>
      <c r="N40" s="211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Z40" s="506"/>
      <c r="AA40" s="506"/>
      <c r="AB40" s="506"/>
      <c r="AC40" s="506"/>
      <c r="AD40" s="506"/>
      <c r="AE40" s="506"/>
      <c r="AF40" s="506"/>
      <c r="AG40" s="506"/>
      <c r="AH40" s="506"/>
      <c r="AI40" s="506"/>
    </row>
    <row r="41" spans="1:35" s="67" customFormat="1" ht="18" customHeight="1">
      <c r="B41" s="471"/>
      <c r="C41" s="471"/>
      <c r="D41" s="471"/>
      <c r="E41" s="178"/>
      <c r="F41" s="178"/>
      <c r="G41" s="172"/>
      <c r="H41" s="178"/>
      <c r="I41" s="175"/>
      <c r="J41" s="36"/>
      <c r="K41" s="36"/>
      <c r="L41" s="471"/>
      <c r="M41" s="36"/>
      <c r="N41" s="211"/>
      <c r="O41" s="506"/>
      <c r="P41" s="506"/>
      <c r="Q41" s="506"/>
      <c r="R41" s="506"/>
      <c r="S41" s="506"/>
      <c r="T41" s="506"/>
      <c r="U41" s="506"/>
      <c r="V41" s="506"/>
      <c r="W41" s="506"/>
      <c r="X41" s="506"/>
      <c r="Y41" s="506"/>
      <c r="Z41" s="506"/>
      <c r="AA41" s="506"/>
      <c r="AB41" s="506"/>
      <c r="AC41" s="506"/>
      <c r="AD41" s="506"/>
      <c r="AE41" s="506"/>
      <c r="AF41" s="506"/>
      <c r="AG41" s="506"/>
      <c r="AH41" s="506"/>
      <c r="AI41" s="506"/>
    </row>
    <row r="42" spans="1:35" s="67" customFormat="1" ht="18" customHeight="1">
      <c r="B42" s="471"/>
      <c r="C42" s="471"/>
      <c r="D42" s="471"/>
      <c r="E42" s="178"/>
      <c r="F42" s="178"/>
      <c r="G42" s="172"/>
      <c r="H42" s="178"/>
      <c r="I42" s="173"/>
      <c r="J42" s="36"/>
      <c r="K42" s="11"/>
      <c r="L42" s="471"/>
      <c r="M42" s="36"/>
      <c r="N42" s="211"/>
      <c r="O42" s="506"/>
      <c r="P42" s="506"/>
      <c r="Q42" s="506"/>
      <c r="R42" s="506"/>
      <c r="S42" s="506"/>
      <c r="T42" s="506"/>
      <c r="U42" s="506"/>
      <c r="V42" s="506"/>
      <c r="W42" s="506"/>
      <c r="X42" s="506"/>
      <c r="Y42" s="506"/>
      <c r="Z42" s="506"/>
      <c r="AA42" s="506"/>
      <c r="AB42" s="506"/>
      <c r="AC42" s="506"/>
      <c r="AD42" s="506"/>
      <c r="AE42" s="506"/>
      <c r="AF42" s="506"/>
      <c r="AG42" s="506"/>
      <c r="AH42" s="506"/>
      <c r="AI42" s="506"/>
    </row>
    <row r="43" spans="1:35" s="67" customFormat="1" ht="18" customHeight="1">
      <c r="B43" s="171"/>
      <c r="C43" s="171"/>
      <c r="D43" s="178"/>
      <c r="E43" s="178"/>
      <c r="F43" s="178"/>
      <c r="G43" s="172"/>
      <c r="H43" s="178"/>
      <c r="I43" s="175"/>
      <c r="J43" s="36"/>
      <c r="K43" s="36"/>
      <c r="L43" s="471"/>
      <c r="M43" s="36"/>
      <c r="N43" s="211"/>
      <c r="O43" s="506"/>
      <c r="P43" s="506"/>
      <c r="Q43" s="506"/>
      <c r="R43" s="506"/>
      <c r="S43" s="506"/>
      <c r="T43" s="506"/>
      <c r="U43" s="506"/>
      <c r="V43" s="506"/>
      <c r="W43" s="506"/>
      <c r="X43" s="506"/>
      <c r="Y43" s="506"/>
      <c r="Z43" s="506"/>
      <c r="AA43" s="506"/>
      <c r="AB43" s="506"/>
      <c r="AC43" s="506"/>
      <c r="AD43" s="506"/>
      <c r="AE43" s="506"/>
      <c r="AF43" s="506"/>
      <c r="AG43" s="506"/>
      <c r="AH43" s="506"/>
      <c r="AI43" s="506"/>
    </row>
    <row r="44" spans="1:35" s="67" customFormat="1" ht="18" customHeight="1">
      <c r="B44" s="175"/>
      <c r="C44" s="175"/>
      <c r="D44" s="178"/>
      <c r="E44" s="178"/>
      <c r="F44" s="178"/>
      <c r="G44" s="172"/>
      <c r="H44" s="178"/>
      <c r="I44" s="173"/>
      <c r="J44" s="36"/>
      <c r="K44" s="11"/>
      <c r="L44" s="471"/>
      <c r="M44" s="36"/>
      <c r="N44" s="211"/>
      <c r="O44" s="506"/>
      <c r="P44" s="506"/>
      <c r="Q44" s="506"/>
      <c r="R44" s="506"/>
      <c r="S44" s="506"/>
      <c r="T44" s="506"/>
      <c r="U44" s="506"/>
      <c r="V44" s="506"/>
      <c r="W44" s="506"/>
      <c r="X44" s="506"/>
      <c r="Y44" s="506"/>
      <c r="Z44" s="506"/>
      <c r="AA44" s="506"/>
      <c r="AB44" s="506"/>
      <c r="AC44" s="506"/>
      <c r="AD44" s="506"/>
      <c r="AE44" s="506"/>
      <c r="AF44" s="506"/>
      <c r="AG44" s="506"/>
      <c r="AH44" s="506"/>
      <c r="AI44" s="506"/>
    </row>
    <row r="45" spans="1:35" s="67" customFormat="1" ht="18" customHeight="1">
      <c r="B45" s="175"/>
      <c r="C45" s="175"/>
      <c r="D45" s="178"/>
      <c r="E45" s="178"/>
      <c r="F45" s="178"/>
      <c r="G45" s="172"/>
      <c r="H45" s="178"/>
      <c r="I45" s="173"/>
      <c r="J45" s="36"/>
      <c r="K45" s="11"/>
      <c r="L45" s="471"/>
      <c r="M45" s="36"/>
      <c r="N45" s="211"/>
      <c r="O45" s="506"/>
      <c r="P45" s="506"/>
      <c r="Q45" s="506"/>
      <c r="R45" s="506"/>
      <c r="S45" s="506"/>
      <c r="T45" s="506"/>
      <c r="U45" s="506"/>
      <c r="V45" s="506"/>
      <c r="W45" s="506"/>
      <c r="X45" s="506"/>
      <c r="Y45" s="506"/>
      <c r="Z45" s="506"/>
      <c r="AA45" s="506"/>
      <c r="AB45" s="506"/>
      <c r="AC45" s="506"/>
      <c r="AD45" s="506"/>
      <c r="AE45" s="506"/>
      <c r="AF45" s="506"/>
      <c r="AG45" s="506"/>
      <c r="AH45" s="506"/>
      <c r="AI45" s="506"/>
    </row>
    <row r="46" spans="1:35" s="67" customFormat="1" ht="18" customHeight="1">
      <c r="B46" s="175"/>
      <c r="C46" s="175"/>
      <c r="D46" s="178"/>
      <c r="E46" s="178"/>
      <c r="F46" s="178"/>
      <c r="G46" s="172"/>
      <c r="H46" s="178"/>
      <c r="I46" s="175"/>
      <c r="J46" s="36"/>
      <c r="K46" s="36"/>
      <c r="L46" s="471"/>
      <c r="M46" s="36"/>
      <c r="N46" s="211"/>
      <c r="O46" s="506"/>
      <c r="P46" s="506"/>
      <c r="Q46" s="506"/>
      <c r="R46" s="506"/>
      <c r="S46" s="506"/>
      <c r="T46" s="506"/>
      <c r="U46" s="506"/>
      <c r="V46" s="506"/>
      <c r="W46" s="506"/>
      <c r="X46" s="506"/>
      <c r="Y46" s="506"/>
      <c r="Z46" s="506"/>
      <c r="AA46" s="506"/>
      <c r="AB46" s="506"/>
      <c r="AC46" s="506"/>
      <c r="AD46" s="506"/>
      <c r="AE46" s="506"/>
      <c r="AF46" s="506"/>
      <c r="AG46" s="506"/>
      <c r="AH46" s="506"/>
      <c r="AI46" s="506"/>
    </row>
    <row r="47" spans="1:35" s="67" customFormat="1" ht="18" customHeight="1">
      <c r="B47" s="175"/>
      <c r="C47" s="175"/>
      <c r="D47" s="178"/>
      <c r="E47" s="178"/>
      <c r="F47" s="178"/>
      <c r="G47" s="172"/>
      <c r="H47" s="178"/>
      <c r="I47" s="173"/>
      <c r="J47" s="36"/>
      <c r="K47" s="11"/>
      <c r="L47" s="471"/>
      <c r="M47" s="36"/>
      <c r="N47" s="211"/>
      <c r="O47" s="506"/>
      <c r="P47" s="506"/>
      <c r="Q47" s="506"/>
      <c r="R47" s="506"/>
      <c r="S47" s="506"/>
      <c r="T47" s="506"/>
      <c r="U47" s="506"/>
      <c r="V47" s="506"/>
      <c r="W47" s="506"/>
      <c r="X47" s="506"/>
      <c r="Y47" s="506"/>
      <c r="Z47" s="506"/>
      <c r="AA47" s="506"/>
      <c r="AB47" s="506"/>
      <c r="AC47" s="506"/>
      <c r="AD47" s="506"/>
      <c r="AE47" s="506"/>
      <c r="AF47" s="506"/>
      <c r="AG47" s="506"/>
      <c r="AH47" s="506"/>
      <c r="AI47" s="506"/>
    </row>
    <row r="48" spans="1:35" s="67" customFormat="1" ht="18" customHeight="1">
      <c r="B48" s="175"/>
      <c r="C48" s="175"/>
      <c r="D48" s="178"/>
      <c r="E48" s="178"/>
      <c r="F48" s="178"/>
      <c r="G48" s="172"/>
      <c r="H48" s="178"/>
      <c r="I48" s="175"/>
      <c r="J48" s="36"/>
      <c r="K48" s="36"/>
      <c r="L48" s="471"/>
      <c r="M48" s="36"/>
      <c r="N48" s="211"/>
      <c r="O48" s="506"/>
      <c r="P48" s="506"/>
      <c r="Q48" s="506"/>
      <c r="R48" s="506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  <c r="AH48" s="506"/>
      <c r="AI48" s="506"/>
    </row>
    <row r="49" spans="14:35" ht="18" customHeight="1"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</row>
    <row r="50" spans="14:35" ht="18" customHeight="1">
      <c r="N50" s="211"/>
    </row>
  </sheetData>
  <mergeCells count="35">
    <mergeCell ref="B38:L38"/>
    <mergeCell ref="A32:F32"/>
    <mergeCell ref="A28:F28"/>
    <mergeCell ref="A30:F30"/>
    <mergeCell ref="B37:L37"/>
    <mergeCell ref="A21:D22"/>
    <mergeCell ref="C17:D19"/>
    <mergeCell ref="A17:B19"/>
    <mergeCell ref="E19:F19"/>
    <mergeCell ref="E17:F17"/>
    <mergeCell ref="E21:F21"/>
    <mergeCell ref="E22:F22"/>
    <mergeCell ref="E18:F18"/>
    <mergeCell ref="E23:F23"/>
    <mergeCell ref="B36:L36"/>
    <mergeCell ref="A33:F33"/>
    <mergeCell ref="A34:F34"/>
    <mergeCell ref="A29:F29"/>
    <mergeCell ref="E24:F24"/>
    <mergeCell ref="E25:F25"/>
    <mergeCell ref="E26:F26"/>
    <mergeCell ref="A24:D25"/>
    <mergeCell ref="A8:C8"/>
    <mergeCell ref="B11:C11"/>
    <mergeCell ref="F5:F6"/>
    <mergeCell ref="G5:G6"/>
    <mergeCell ref="A15:F15"/>
    <mergeCell ref="A7:C7"/>
    <mergeCell ref="A9:A12"/>
    <mergeCell ref="B10:C10"/>
    <mergeCell ref="B12:C12"/>
    <mergeCell ref="B9:C9"/>
    <mergeCell ref="D5:D6"/>
    <mergeCell ref="E5:E6"/>
    <mergeCell ref="A5:C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2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AR50"/>
  <sheetViews>
    <sheetView view="pageBreakPreview" zoomScale="80" zoomScaleNormal="70" zoomScaleSheetLayoutView="8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29" sqref="B29:L29"/>
    </sheetView>
  </sheetViews>
  <sheetFormatPr defaultColWidth="8.85546875" defaultRowHeight="15"/>
  <cols>
    <col min="1" max="1" width="5.7109375" style="471" customWidth="1"/>
    <col min="2" max="5" width="11.7109375" style="471" customWidth="1"/>
    <col min="6" max="6" width="11.7109375" style="2" customWidth="1"/>
    <col min="7" max="7" width="20.7109375" style="471" customWidth="1"/>
    <col min="8" max="8" width="19.85546875" style="471" hidden="1" customWidth="1"/>
    <col min="9" max="9" width="22.42578125" style="471" customWidth="1"/>
    <col min="10" max="10" width="22.7109375" style="471" customWidth="1"/>
    <col min="11" max="14" width="20.7109375" style="471" customWidth="1"/>
    <col min="15" max="17" width="8.85546875" style="471" customWidth="1"/>
    <col min="18" max="16384" width="8.85546875" style="471"/>
  </cols>
  <sheetData>
    <row r="1" spans="1:44" s="1024" customFormat="1" ht="18" customHeight="1">
      <c r="B1" s="1028" t="s">
        <v>307</v>
      </c>
      <c r="C1" s="1028"/>
      <c r="D1" s="1029"/>
      <c r="E1" s="1029"/>
      <c r="F1" s="1030"/>
      <c r="G1" s="1029"/>
      <c r="H1" s="1029"/>
      <c r="I1" s="1029"/>
      <c r="J1" s="1029"/>
      <c r="K1" s="1029"/>
      <c r="L1" s="1029"/>
      <c r="M1" s="1029"/>
      <c r="N1" s="1031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</row>
    <row r="3" spans="1:44" ht="90" customHeight="1">
      <c r="A3" s="7"/>
      <c r="F3" s="8"/>
      <c r="G3" s="357"/>
      <c r="H3" s="357"/>
      <c r="I3" s="357"/>
      <c r="J3" s="381"/>
      <c r="K3" s="13"/>
      <c r="L3" s="1557"/>
      <c r="M3" s="357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</row>
    <row r="4" spans="1:44" ht="18.75">
      <c r="A4" s="1021"/>
      <c r="B4" s="17" t="s">
        <v>54</v>
      </c>
      <c r="C4" s="17"/>
      <c r="D4" s="1021"/>
      <c r="E4" s="1021"/>
      <c r="F4" s="6"/>
      <c r="G4" s="1021"/>
      <c r="H4" s="1470"/>
      <c r="I4" s="1021"/>
      <c r="J4" s="381"/>
      <c r="K4" s="13"/>
      <c r="L4" s="357"/>
      <c r="M4" s="357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</row>
    <row r="5" spans="1:44" ht="33.75" customHeight="1">
      <c r="A5" s="2879" t="s">
        <v>1</v>
      </c>
      <c r="B5" s="2879"/>
      <c r="C5" s="2879"/>
      <c r="D5" s="2879" t="s">
        <v>39</v>
      </c>
      <c r="E5" s="2879" t="s">
        <v>38</v>
      </c>
      <c r="F5" s="2879" t="s">
        <v>50</v>
      </c>
      <c r="G5" s="2880" t="s">
        <v>1491</v>
      </c>
      <c r="H5" s="2016" t="s">
        <v>1491</v>
      </c>
      <c r="I5" s="2073" t="s">
        <v>1494</v>
      </c>
      <c r="J5" s="2880" t="s">
        <v>1493</v>
      </c>
      <c r="K5" s="2073" t="s">
        <v>1492</v>
      </c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</row>
    <row r="6" spans="1:44" ht="24.95" customHeight="1">
      <c r="A6" s="2879"/>
      <c r="B6" s="2879"/>
      <c r="C6" s="2879"/>
      <c r="D6" s="2879"/>
      <c r="E6" s="2879"/>
      <c r="F6" s="2879"/>
      <c r="G6" s="2880"/>
      <c r="H6" s="1555" t="s">
        <v>1228</v>
      </c>
      <c r="I6" s="1555" t="s">
        <v>1555</v>
      </c>
      <c r="J6" s="2880"/>
      <c r="K6" s="1555" t="s">
        <v>1555</v>
      </c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</row>
    <row r="7" spans="1:44" s="1021" customFormat="1" ht="24" customHeight="1">
      <c r="A7" s="2877" t="s">
        <v>1952</v>
      </c>
      <c r="B7" s="2877"/>
      <c r="C7" s="2877"/>
      <c r="D7" s="2019" t="s">
        <v>1953</v>
      </c>
      <c r="E7" s="2019" t="s">
        <v>31</v>
      </c>
      <c r="F7" s="2018" t="s">
        <v>0</v>
      </c>
      <c r="G7" s="2047">
        <f>'Полотна база'!I9*(1+скидки_наценки!$B$30)*скидки_наценки!$D$13*скидки_наценки!$F$13/скидки_наценки!$B$4</f>
        <v>20150</v>
      </c>
      <c r="H7" s="2047">
        <f>CEILING(('Полотна база'!I9+Алюм.погонаж!$E$27)*(1+скидки_наценки!$B$28)*скидки_наценки!$D$10*скидки_наценки!$F$10/скидки_наценки!$B$4, 50)</f>
        <v>22900</v>
      </c>
      <c r="I7" s="2047">
        <f>'Полотна база'!K9*(1+скидки_наценки!$B$28)*скидки_наценки!$D$10*скидки_наценки!$F$10/скидки_наценки!$B$4+Алюм.погонаж!E27</f>
        <v>24850</v>
      </c>
      <c r="J7" s="2047">
        <f>'Полотна база'!K9*(1+скидки_наценки!$B$28)*скидки_наценки!$D$10*скидки_наценки!$F$10/скидки_наценки!$B$4</f>
        <v>22100</v>
      </c>
      <c r="K7" s="2047">
        <f>'Полотна база'!J9*(1+скидки_наценки!$B$28)*скидки_наценки!$D$10*скидки_наценки!$F$10/скидки_наценки!$B$4+Алюм.погонаж!E27</f>
        <v>26500</v>
      </c>
      <c r="L7" s="1281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  <c r="AO7" s="359"/>
      <c r="AP7" s="359"/>
    </row>
    <row r="8" spans="1:44" s="9" customFormat="1" ht="24" customHeight="1">
      <c r="A8" s="2885" t="s">
        <v>25</v>
      </c>
      <c r="B8" s="2931" t="s">
        <v>1292</v>
      </c>
      <c r="C8" s="2931"/>
      <c r="D8" s="2045" t="s">
        <v>1953</v>
      </c>
      <c r="E8" s="2048" t="s">
        <v>31</v>
      </c>
      <c r="F8" s="2049" t="s">
        <v>0</v>
      </c>
      <c r="G8" s="2046">
        <f>'Полотна база'!I10*(1+скидки_наценки!$B$29)*скидки_наценки!$D$13*скидки_наценки!$F$13/скидки_наценки!$B$4</f>
        <v>22220</v>
      </c>
      <c r="H8" s="2046">
        <f>CEILING(('Полотна база'!I10+Алюм.погонаж!$E$27)*(1+скидки_наценки!$B$28)*скидки_наценки!$D$10*скидки_наценки!$F$10/скидки_наценки!$B$4, 50)</f>
        <v>25000</v>
      </c>
      <c r="I8" s="2046">
        <f>'Полотна база'!K10*(1+скидки_наценки!$B$28)*скидки_наценки!$D$10*скидки_наценки!$F$10/скидки_наценки!$B$4+Алюм.погонаж!E27</f>
        <v>26920</v>
      </c>
      <c r="J8" s="2046">
        <f>'Полотна база'!K10*(1+скидки_наценки!$B$28)*скидки_наценки!$D$10*скидки_наценки!$F$10/скидки_наценки!$B$4</f>
        <v>24170</v>
      </c>
      <c r="K8" s="2171">
        <f>'Полотна база'!J10*(1+скидки_наценки!$B$28)*скидки_наценки!$D$10*скидки_наценки!$F$10/скидки_наценки!$B$4+Алюм.погонаж!E27</f>
        <v>28570</v>
      </c>
      <c r="L8" s="476"/>
      <c r="M8" s="359"/>
      <c r="N8" s="359"/>
      <c r="O8" s="359"/>
      <c r="P8" s="359"/>
      <c r="Q8" s="1551"/>
      <c r="R8" s="1551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</row>
    <row r="9" spans="1:44" s="9" customFormat="1" ht="24" customHeight="1">
      <c r="A9" s="2885"/>
      <c r="B9" s="2932" t="s">
        <v>1288</v>
      </c>
      <c r="C9" s="2932"/>
      <c r="D9" s="2019" t="s">
        <v>1953</v>
      </c>
      <c r="E9" s="2019" t="s">
        <v>31</v>
      </c>
      <c r="F9" s="2018" t="s">
        <v>0</v>
      </c>
      <c r="G9" s="2047">
        <f>'Полотна база'!I11*(1+скидки_наценки!$B$29)*скидки_наценки!$D$13*скидки_наценки!$F$13/скидки_наценки!$B$4</f>
        <v>23800</v>
      </c>
      <c r="H9" s="2047">
        <f>CEILING(('Полотна база'!I11+Алюм.погонаж!$E$27)*(1+скидки_наценки!$B$28)*скидки_наценки!$D$10*скидки_наценки!$F$10/скидки_наценки!$B$4, 50)</f>
        <v>26550</v>
      </c>
      <c r="I9" s="2047">
        <f>'Полотна база'!K11*(1+скидки_наценки!$B$28)*скидки_наценки!$D$10*скидки_наценки!$F$10/скидки_наценки!$B$4+Алюм.погонаж!E27</f>
        <v>28500</v>
      </c>
      <c r="J9" s="2047">
        <f>'Полотна база'!K11*(1+скидки_наценки!$B$28)*скидки_наценки!$D$10*скидки_наценки!$F$10/скидки_наценки!$B$4</f>
        <v>25750</v>
      </c>
      <c r="K9" s="2047">
        <f>'Полотна база'!J11*(1+скидки_наценки!$B$28)*скидки_наценки!$D$10*скидки_наценки!$F$10/скидки_наценки!$B$4+Алюм.погонаж!E27</f>
        <v>30150</v>
      </c>
      <c r="L9" s="476"/>
      <c r="M9" s="475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</row>
    <row r="10" spans="1:44" s="9" customFormat="1" ht="24" customHeight="1">
      <c r="A10" s="2885"/>
      <c r="B10" s="2878" t="s">
        <v>1870</v>
      </c>
      <c r="C10" s="2878"/>
      <c r="D10" s="2045" t="s">
        <v>1953</v>
      </c>
      <c r="E10" s="2020" t="s">
        <v>31</v>
      </c>
      <c r="F10" s="2017" t="s">
        <v>0</v>
      </c>
      <c r="G10" s="2046">
        <f>'Полотна база'!I12*(1+скидки_наценки!$B$29)*скидки_наценки!$D$13*скидки_наценки!$F$13/скидки_наценки!$B$4</f>
        <v>24820</v>
      </c>
      <c r="H10" s="2046">
        <f>CEILING(('Полотна база'!I14+Алюм.погонаж!$E$27)*(1+скидки_наценки!$B$28)*скидки_наценки!$D$10*скидки_наценки!$F$10/скидки_наценки!$B$4, 50)</f>
        <v>2750</v>
      </c>
      <c r="I10" s="2046">
        <f>'Полотна база'!K12*(1+скидки_наценки!$B$28)*скидки_наценки!$D$10*скидки_наценки!$F$10/скидки_наценки!$B$4+Алюм.погонаж!E27</f>
        <v>29520</v>
      </c>
      <c r="J10" s="2046">
        <f>'Полотна база'!K12*(1+скидки_наценки!$B$28)*скидки_наценки!$D$10*скидки_наценки!$F$10/скидки_наценки!$B$4</f>
        <v>26770</v>
      </c>
      <c r="K10" s="2046">
        <f>'Полотна база'!J12*(1+скидки_наценки!$B$28)*скидки_наценки!$D$10*скидки_наценки!$F$10/скидки_наценки!$B$4+Алюм.погонаж!E27</f>
        <v>31170</v>
      </c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</row>
    <row r="11" spans="1:44" s="9" customFormat="1" ht="24" customHeight="1">
      <c r="A11" s="2885"/>
      <c r="B11" s="2932" t="s">
        <v>1294</v>
      </c>
      <c r="C11" s="2932"/>
      <c r="D11" s="2019" t="s">
        <v>1953</v>
      </c>
      <c r="E11" s="2019" t="s">
        <v>31</v>
      </c>
      <c r="F11" s="2018" t="s">
        <v>0</v>
      </c>
      <c r="G11" s="2047">
        <f>'Полотна база'!I13*(1+скидки_наценки!$B$29)*скидки_наценки!$D$13*скидки_наценки!$F$13/скидки_наценки!$B$4</f>
        <v>25840</v>
      </c>
      <c r="H11" s="2047">
        <f>CEILING(('Полотна база'!I13+Алюм.погонаж!$E$27)*(1+скидки_наценки!$B$28)*скидки_наценки!$D$10*скидки_наценки!$F$10/скидки_наценки!$B$4, 50)</f>
        <v>28600</v>
      </c>
      <c r="I11" s="2047">
        <f>'Полотна база'!K13*(1+скидки_наценки!$B$28)*скидки_наценки!$D$10*скидки_наценки!$F$10/скидки_наценки!$B$4+Алюм.погонаж!E27</f>
        <v>30540</v>
      </c>
      <c r="J11" s="2047">
        <f>'Полотна база'!K13*(1+скидки_наценки!$B$28)*скидки_наценки!$D$10*скидки_наценки!$F$10/скидки_наценки!$B$4</f>
        <v>27790</v>
      </c>
      <c r="K11" s="2047">
        <f>'Полотна база'!J13*(1+скидки_наценки!$B$28)*скидки_наценки!$D$10*скидки_наценки!$F$10/скидки_наценки!$B$4+Алюм.погонаж!E27</f>
        <v>32190</v>
      </c>
      <c r="L11" s="476"/>
      <c r="M11" s="475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  <c r="AN11" s="359"/>
      <c r="AO11" s="359"/>
      <c r="AP11" s="359"/>
    </row>
    <row r="12" spans="1:44" ht="15.95" customHeight="1">
      <c r="F12" s="47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</row>
    <row r="13" spans="1:44" s="11" customFormat="1" ht="15" customHeight="1">
      <c r="B13" s="53" t="s">
        <v>19</v>
      </c>
      <c r="C13" s="53"/>
      <c r="I13" s="54"/>
      <c r="J13" s="471"/>
      <c r="K13" s="319"/>
      <c r="L13" s="319"/>
      <c r="M13" s="319"/>
      <c r="N13" s="319"/>
      <c r="O13" s="319"/>
      <c r="P13" s="319"/>
      <c r="Q13" s="1550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</row>
    <row r="14" spans="1:44" s="11" customFormat="1" ht="15" customHeight="1">
      <c r="A14" s="2936" t="s">
        <v>1495</v>
      </c>
      <c r="B14" s="2937"/>
      <c r="C14" s="2937"/>
      <c r="D14" s="2937"/>
      <c r="E14" s="2937"/>
      <c r="F14" s="2937"/>
      <c r="G14" s="2941" t="str">
        <f>G5</f>
        <v>Slot 10-001
(Porte02 )</v>
      </c>
      <c r="H14" s="1552" t="str">
        <f>H5</f>
        <v>Slot 10-001
(Porte02 )</v>
      </c>
      <c r="I14" s="1552" t="str">
        <f>I5</f>
        <v>Slot 10-002/004
(Porte02 )</v>
      </c>
      <c r="J14" s="2941" t="str">
        <f>J5</f>
        <v>Slot 10-011/012</v>
      </c>
      <c r="K14" s="1113" t="str">
        <f>K5</f>
        <v>Slot41-002
(Porte04)</v>
      </c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</row>
    <row r="15" spans="1:44" s="11" customFormat="1" ht="15" customHeight="1">
      <c r="A15" s="2938"/>
      <c r="B15" s="2939"/>
      <c r="C15" s="2939"/>
      <c r="D15" s="2939"/>
      <c r="E15" s="2939"/>
      <c r="F15" s="2939"/>
      <c r="G15" s="2942"/>
      <c r="H15" s="1559" t="str">
        <f>H6</f>
        <v>в базе 2Al</v>
      </c>
      <c r="I15" s="1559" t="str">
        <f>I6</f>
        <v xml:space="preserve"> кромка 2Al </v>
      </c>
      <c r="J15" s="2942"/>
      <c r="K15" s="1559" t="str">
        <f>K6</f>
        <v xml:space="preserve"> кромка 2Al </v>
      </c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</row>
    <row r="16" spans="1:44" s="56" customFormat="1">
      <c r="A16" s="656" t="s">
        <v>1193</v>
      </c>
      <c r="B16" s="657"/>
      <c r="C16" s="725"/>
      <c r="D16" s="657"/>
      <c r="E16" s="657"/>
      <c r="F16" s="657"/>
      <c r="G16" s="1558"/>
      <c r="H16" s="1558"/>
      <c r="I16" s="1558"/>
      <c r="J16" s="1549"/>
      <c r="K16" s="1558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</row>
    <row r="17" spans="1:44" s="64" customFormat="1" ht="18" customHeight="1">
      <c r="A17" s="2914" t="s">
        <v>1194</v>
      </c>
      <c r="B17" s="2914"/>
      <c r="C17" s="2914"/>
      <c r="D17" s="2914"/>
      <c r="E17" s="2940" t="s">
        <v>1196</v>
      </c>
      <c r="F17" s="2940"/>
      <c r="G17" s="1340" t="s">
        <v>1192</v>
      </c>
      <c r="H17" s="1340" t="s">
        <v>1192</v>
      </c>
      <c r="I17" s="1340" t="s">
        <v>1192</v>
      </c>
      <c r="J17" s="1340" t="s">
        <v>1192</v>
      </c>
      <c r="K17" s="1340" t="s">
        <v>3</v>
      </c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60"/>
      <c r="AA17" s="360"/>
      <c r="AB17" s="360"/>
      <c r="AC17" s="360"/>
      <c r="AD17" s="360"/>
      <c r="AE17" s="360"/>
      <c r="AF17" s="360"/>
      <c r="AG17" s="360"/>
      <c r="AH17" s="360"/>
      <c r="AI17" s="360"/>
      <c r="AJ17" s="360"/>
      <c r="AK17" s="360"/>
      <c r="AL17" s="360"/>
    </row>
    <row r="18" spans="1:44" s="64" customFormat="1" ht="18" customHeight="1">
      <c r="A18" s="2914"/>
      <c r="B18" s="2914"/>
      <c r="C18" s="2914"/>
      <c r="D18" s="2914"/>
      <c r="E18" s="2930" t="s">
        <v>1197</v>
      </c>
      <c r="F18" s="2930"/>
      <c r="G18" s="1339" t="s">
        <v>1192</v>
      </c>
      <c r="H18" s="1339" t="s">
        <v>1192</v>
      </c>
      <c r="I18" s="1339" t="s">
        <v>1192</v>
      </c>
      <c r="J18" s="1339" t="s">
        <v>1192</v>
      </c>
      <c r="K18" s="1339" t="s">
        <v>3</v>
      </c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  <c r="AJ18" s="360"/>
      <c r="AK18" s="360"/>
      <c r="AL18" s="360"/>
    </row>
    <row r="19" spans="1:44" s="64" customFormat="1" ht="18" customHeight="1">
      <c r="A19" s="2929" t="s">
        <v>1195</v>
      </c>
      <c r="B19" s="2929"/>
      <c r="C19" s="2929"/>
      <c r="D19" s="2929"/>
      <c r="E19" s="2930" t="s">
        <v>1196</v>
      </c>
      <c r="F19" s="2930"/>
      <c r="G19" s="1339" t="s">
        <v>3</v>
      </c>
      <c r="H19" s="1339" t="s">
        <v>3</v>
      </c>
      <c r="I19" s="1339" t="s">
        <v>3</v>
      </c>
      <c r="J19" s="1339" t="s">
        <v>3</v>
      </c>
      <c r="K19" s="1339" t="s">
        <v>1192</v>
      </c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0"/>
      <c r="AD19" s="360"/>
      <c r="AE19" s="360"/>
      <c r="AF19" s="360"/>
      <c r="AG19" s="360"/>
      <c r="AH19" s="360"/>
      <c r="AI19" s="360"/>
      <c r="AJ19" s="360"/>
      <c r="AK19" s="360"/>
      <c r="AL19" s="360"/>
    </row>
    <row r="20" spans="1:44" s="64" customFormat="1" ht="18" customHeight="1">
      <c r="A20" s="2929"/>
      <c r="B20" s="2929"/>
      <c r="C20" s="2929"/>
      <c r="D20" s="2929"/>
      <c r="E20" s="2940" t="s">
        <v>1197</v>
      </c>
      <c r="F20" s="2940"/>
      <c r="G20" s="1340" t="s">
        <v>3</v>
      </c>
      <c r="H20" s="1340" t="s">
        <v>3</v>
      </c>
      <c r="I20" s="1340" t="s">
        <v>3</v>
      </c>
      <c r="J20" s="1340" t="s">
        <v>3</v>
      </c>
      <c r="K20" s="1340" t="s">
        <v>1192</v>
      </c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0"/>
      <c r="AD20" s="360"/>
      <c r="AE20" s="360"/>
      <c r="AF20" s="360"/>
      <c r="AG20" s="360"/>
      <c r="AH20" s="360"/>
      <c r="AI20" s="360"/>
      <c r="AJ20" s="360"/>
      <c r="AK20" s="360"/>
      <c r="AL20" s="360"/>
    </row>
    <row r="21" spans="1:44" s="56" customFormat="1" ht="18" hidden="1" customHeight="1">
      <c r="A21" s="2051" t="s">
        <v>1185</v>
      </c>
      <c r="B21" s="2052"/>
      <c r="C21" s="2052"/>
      <c r="D21" s="2052"/>
      <c r="E21" s="2052"/>
      <c r="F21" s="2052"/>
      <c r="G21" s="2052"/>
      <c r="H21" s="2052"/>
      <c r="I21" s="2052"/>
      <c r="J21" s="360"/>
      <c r="K21" s="360"/>
      <c r="L21" s="360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</row>
    <row r="22" spans="1:44" s="57" customFormat="1" ht="18" hidden="1" customHeight="1">
      <c r="A22" s="2943" t="s">
        <v>1186</v>
      </c>
      <c r="B22" s="2944"/>
      <c r="C22" s="2944"/>
      <c r="D22" s="2944"/>
      <c r="E22" s="2944"/>
      <c r="F22" s="2945"/>
      <c r="G22" s="1429">
        <v>0.15</v>
      </c>
      <c r="H22" s="1556"/>
      <c r="I22" s="1429">
        <f>G22</f>
        <v>0.15</v>
      </c>
      <c r="J22" s="360"/>
      <c r="K22" s="360"/>
      <c r="L22" s="360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</row>
    <row r="23" spans="1:44" s="57" customFormat="1" ht="18" hidden="1" customHeight="1">
      <c r="A23" s="2933" t="s">
        <v>1187</v>
      </c>
      <c r="B23" s="2934"/>
      <c r="C23" s="2934"/>
      <c r="D23" s="2934"/>
      <c r="E23" s="2934"/>
      <c r="F23" s="2935"/>
      <c r="G23" s="1431">
        <v>0.2</v>
      </c>
      <c r="H23" s="1431"/>
      <c r="I23" s="1431">
        <f>G23</f>
        <v>0.2</v>
      </c>
      <c r="J23" s="360"/>
      <c r="K23" s="360"/>
      <c r="L23" s="360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</row>
    <row r="24" spans="1:44" s="57" customFormat="1" ht="18" hidden="1" customHeight="1">
      <c r="A24" s="2893" t="s">
        <v>1188</v>
      </c>
      <c r="B24" s="2894"/>
      <c r="C24" s="2894"/>
      <c r="D24" s="2894"/>
      <c r="E24" s="2894"/>
      <c r="F24" s="2895"/>
      <c r="G24" s="1430">
        <v>0.3</v>
      </c>
      <c r="H24" s="1430"/>
      <c r="I24" s="1430">
        <f>G24</f>
        <v>0.3</v>
      </c>
      <c r="J24" s="360"/>
      <c r="K24" s="360"/>
      <c r="L24" s="360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</row>
    <row r="25" spans="1:44" ht="18" customHeight="1">
      <c r="B25" s="1094" t="s">
        <v>1182</v>
      </c>
      <c r="C25" s="175"/>
      <c r="F25" s="47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</row>
    <row r="26" spans="1:44" ht="37.5" customHeight="1">
      <c r="B26" s="2928" t="s">
        <v>1510</v>
      </c>
      <c r="C26" s="2928"/>
      <c r="D26" s="2928"/>
      <c r="E26" s="2928"/>
      <c r="F26" s="2928"/>
      <c r="G26" s="2928"/>
      <c r="H26" s="2928"/>
      <c r="I26" s="2928"/>
      <c r="J26" s="2928"/>
      <c r="K26" s="2928"/>
      <c r="L26" s="2928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</row>
    <row r="27" spans="1:44" ht="27" customHeight="1">
      <c r="B27" s="2928" t="s">
        <v>1511</v>
      </c>
      <c r="C27" s="2928"/>
      <c r="D27" s="2928"/>
      <c r="E27" s="2928"/>
      <c r="F27" s="2928"/>
      <c r="G27" s="2928"/>
      <c r="H27" s="2928"/>
      <c r="I27" s="2928"/>
      <c r="J27" s="2928"/>
      <c r="K27" s="2928"/>
      <c r="L27" s="2928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</row>
    <row r="28" spans="1:44">
      <c r="B28" s="2928" t="s">
        <v>1496</v>
      </c>
      <c r="C28" s="2928"/>
      <c r="D28" s="2928"/>
      <c r="E28" s="2928"/>
      <c r="F28" s="2928"/>
      <c r="G28" s="2928"/>
      <c r="H28" s="2928"/>
      <c r="I28" s="2928"/>
      <c r="J28" s="2928"/>
      <c r="K28" s="2928"/>
      <c r="L28" s="2928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</row>
    <row r="29" spans="1:44">
      <c r="B29" s="2928" t="s">
        <v>2184</v>
      </c>
      <c r="C29" s="2928"/>
      <c r="D29" s="2928"/>
      <c r="E29" s="2928"/>
      <c r="F29" s="2928"/>
      <c r="G29" s="2928"/>
      <c r="H29" s="2928"/>
      <c r="I29" s="2928"/>
      <c r="J29" s="2928"/>
      <c r="K29" s="2928"/>
      <c r="L29" s="2928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</row>
    <row r="30" spans="1:44">
      <c r="K30" s="44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</row>
    <row r="31" spans="1:44" s="303" customFormat="1">
      <c r="A31" s="66"/>
      <c r="B31" s="471"/>
      <c r="C31" s="471"/>
      <c r="D31" s="471"/>
      <c r="E31" s="53"/>
      <c r="F31" s="53"/>
      <c r="G31" s="48"/>
      <c r="H31" s="48"/>
      <c r="I31" s="48"/>
      <c r="J31" s="48"/>
      <c r="K31" s="48"/>
      <c r="L31" s="471"/>
      <c r="M31" s="471"/>
      <c r="N31" s="211"/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360"/>
      <c r="AD31" s="360"/>
      <c r="AE31" s="360"/>
      <c r="AF31" s="360"/>
      <c r="AG31" s="360"/>
      <c r="AH31" s="360"/>
      <c r="AI31" s="360"/>
      <c r="AJ31" s="360"/>
      <c r="AK31" s="360"/>
      <c r="AL31" s="360"/>
      <c r="AM31" s="360"/>
      <c r="AN31" s="360"/>
      <c r="AO31" s="360"/>
      <c r="AP31" s="360"/>
      <c r="AQ31" s="360"/>
      <c r="AR31" s="360"/>
    </row>
    <row r="32" spans="1:44" s="67" customFormat="1">
      <c r="B32" s="471"/>
      <c r="C32" s="471"/>
      <c r="D32" s="471"/>
      <c r="E32" s="171"/>
      <c r="F32" s="171"/>
      <c r="G32" s="172"/>
      <c r="H32" s="172"/>
      <c r="I32" s="172"/>
      <c r="J32" s="173"/>
      <c r="K32" s="36"/>
      <c r="L32" s="471"/>
      <c r="M32" s="471"/>
      <c r="N32" s="211"/>
      <c r="O32" s="506"/>
      <c r="P32" s="506"/>
      <c r="Q32" s="506"/>
      <c r="R32" s="506"/>
      <c r="S32" s="506"/>
      <c r="T32" s="506"/>
      <c r="U32" s="506"/>
      <c r="V32" s="506"/>
      <c r="W32" s="506"/>
      <c r="X32" s="506"/>
      <c r="Y32" s="506"/>
      <c r="Z32" s="506"/>
      <c r="AA32" s="506"/>
      <c r="AB32" s="506"/>
      <c r="AC32" s="506"/>
      <c r="AD32" s="506"/>
      <c r="AE32" s="506"/>
      <c r="AF32" s="506"/>
      <c r="AG32" s="506"/>
      <c r="AH32" s="506"/>
      <c r="AI32" s="506"/>
      <c r="AJ32" s="506"/>
      <c r="AK32" s="506"/>
      <c r="AL32" s="506"/>
      <c r="AM32" s="506"/>
      <c r="AN32" s="506"/>
      <c r="AO32" s="506"/>
      <c r="AP32" s="506"/>
      <c r="AQ32" s="506"/>
      <c r="AR32" s="506"/>
    </row>
    <row r="33" spans="2:44" s="67" customFormat="1">
      <c r="B33" s="471"/>
      <c r="C33" s="471"/>
      <c r="D33" s="471"/>
      <c r="E33" s="178"/>
      <c r="F33" s="178"/>
      <c r="G33" s="172"/>
      <c r="H33" s="172"/>
      <c r="I33" s="178"/>
      <c r="J33" s="175"/>
      <c r="K33" s="36"/>
      <c r="L33" s="471"/>
      <c r="M33" s="471"/>
      <c r="N33" s="211"/>
      <c r="O33" s="506"/>
      <c r="P33" s="506"/>
      <c r="Q33" s="506"/>
      <c r="R33" s="506"/>
      <c r="S33" s="506"/>
      <c r="T33" s="506"/>
      <c r="U33" s="506"/>
      <c r="V33" s="506"/>
      <c r="W33" s="506"/>
      <c r="X33" s="506"/>
      <c r="Y33" s="506"/>
      <c r="Z33" s="506"/>
      <c r="AA33" s="506"/>
      <c r="AB33" s="506"/>
      <c r="AC33" s="506"/>
      <c r="AD33" s="506"/>
      <c r="AE33" s="506"/>
      <c r="AF33" s="506"/>
      <c r="AG33" s="506"/>
      <c r="AH33" s="506"/>
      <c r="AI33" s="506"/>
      <c r="AJ33" s="506"/>
      <c r="AK33" s="506"/>
      <c r="AL33" s="506"/>
      <c r="AM33" s="506"/>
      <c r="AN33" s="506"/>
      <c r="AO33" s="506"/>
      <c r="AP33" s="506"/>
      <c r="AQ33" s="506"/>
      <c r="AR33" s="506"/>
    </row>
    <row r="34" spans="2:44" s="67" customFormat="1">
      <c r="B34" s="471"/>
      <c r="C34" s="471"/>
      <c r="D34" s="471"/>
      <c r="E34" s="178"/>
      <c r="F34" s="178"/>
      <c r="G34" s="172"/>
      <c r="H34" s="172"/>
      <c r="I34" s="178"/>
      <c r="J34" s="175"/>
      <c r="K34" s="36"/>
      <c r="L34" s="471"/>
      <c r="M34" s="471"/>
      <c r="N34" s="211"/>
      <c r="O34" s="506"/>
      <c r="P34" s="506"/>
      <c r="Q34" s="506"/>
      <c r="R34" s="506"/>
      <c r="S34" s="506"/>
      <c r="T34" s="506"/>
      <c r="U34" s="506"/>
      <c r="V34" s="506"/>
      <c r="W34" s="506"/>
      <c r="X34" s="506"/>
      <c r="Y34" s="506"/>
      <c r="Z34" s="506"/>
      <c r="AA34" s="506"/>
      <c r="AB34" s="506"/>
      <c r="AC34" s="506"/>
      <c r="AD34" s="506"/>
      <c r="AE34" s="506"/>
      <c r="AF34" s="506"/>
      <c r="AG34" s="506"/>
      <c r="AH34" s="506"/>
      <c r="AI34" s="506"/>
      <c r="AJ34" s="506"/>
      <c r="AK34" s="506"/>
      <c r="AL34" s="506"/>
      <c r="AM34" s="506"/>
      <c r="AN34" s="506"/>
      <c r="AO34" s="506"/>
      <c r="AP34" s="506"/>
      <c r="AQ34" s="506"/>
      <c r="AR34" s="506"/>
    </row>
    <row r="35" spans="2:44" s="67" customFormat="1">
      <c r="B35" s="471"/>
      <c r="C35" s="471"/>
      <c r="D35" s="471"/>
      <c r="E35" s="178"/>
      <c r="F35" s="178"/>
      <c r="G35" s="172"/>
      <c r="H35" s="172"/>
      <c r="I35" s="178"/>
      <c r="J35" s="173"/>
      <c r="K35" s="11"/>
      <c r="L35" s="471"/>
      <c r="M35" s="471"/>
      <c r="N35" s="211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06"/>
      <c r="AI35" s="506"/>
      <c r="AJ35" s="506"/>
      <c r="AK35" s="506"/>
      <c r="AL35" s="506"/>
      <c r="AM35" s="506"/>
      <c r="AN35" s="506"/>
      <c r="AO35" s="506"/>
      <c r="AP35" s="506"/>
      <c r="AQ35" s="506"/>
      <c r="AR35" s="506"/>
    </row>
    <row r="36" spans="2:44" s="67" customFormat="1">
      <c r="B36" s="171"/>
      <c r="C36" s="171"/>
      <c r="D36" s="178"/>
      <c r="E36" s="178"/>
      <c r="F36" s="178"/>
      <c r="G36" s="172"/>
      <c r="H36" s="172"/>
      <c r="I36" s="178"/>
      <c r="J36" s="175"/>
      <c r="K36" s="36"/>
      <c r="L36" s="471"/>
      <c r="M36" s="471"/>
      <c r="N36" s="211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  <c r="AB36" s="506"/>
      <c r="AC36" s="506"/>
      <c r="AD36" s="506"/>
      <c r="AE36" s="506"/>
      <c r="AF36" s="506"/>
      <c r="AG36" s="506"/>
      <c r="AH36" s="506"/>
      <c r="AI36" s="506"/>
      <c r="AJ36" s="506"/>
      <c r="AK36" s="506"/>
      <c r="AL36" s="506"/>
      <c r="AM36" s="506"/>
      <c r="AN36" s="506"/>
      <c r="AO36" s="506"/>
      <c r="AP36" s="506"/>
      <c r="AQ36" s="506"/>
      <c r="AR36" s="506"/>
    </row>
    <row r="37" spans="2:44" s="67" customFormat="1">
      <c r="B37" s="175"/>
      <c r="C37" s="175"/>
      <c r="D37" s="178"/>
      <c r="E37" s="178"/>
      <c r="F37" s="178"/>
      <c r="G37" s="172"/>
      <c r="H37" s="172"/>
      <c r="I37" s="178"/>
      <c r="J37" s="173"/>
      <c r="K37" s="11"/>
      <c r="L37" s="471"/>
      <c r="M37" s="471"/>
      <c r="N37" s="211"/>
      <c r="O37" s="506"/>
      <c r="P37" s="506"/>
      <c r="Q37" s="506"/>
      <c r="R37" s="506"/>
      <c r="S37" s="506"/>
      <c r="T37" s="506"/>
      <c r="U37" s="506"/>
      <c r="V37" s="506"/>
      <c r="W37" s="506"/>
      <c r="X37" s="506"/>
      <c r="Y37" s="506"/>
      <c r="Z37" s="506"/>
      <c r="AA37" s="506"/>
      <c r="AB37" s="506"/>
      <c r="AC37" s="506"/>
      <c r="AD37" s="506"/>
      <c r="AE37" s="506"/>
      <c r="AF37" s="506"/>
      <c r="AG37" s="506"/>
      <c r="AH37" s="506"/>
      <c r="AI37" s="506"/>
      <c r="AJ37" s="506"/>
      <c r="AK37" s="506"/>
      <c r="AL37" s="506"/>
      <c r="AM37" s="506"/>
      <c r="AN37" s="506"/>
      <c r="AO37" s="506"/>
      <c r="AP37" s="506"/>
      <c r="AQ37" s="506"/>
      <c r="AR37" s="506"/>
    </row>
    <row r="38" spans="2:44" s="67" customFormat="1">
      <c r="B38" s="175"/>
      <c r="C38" s="175"/>
      <c r="D38" s="178"/>
      <c r="E38" s="178"/>
      <c r="F38" s="178"/>
      <c r="G38" s="172"/>
      <c r="H38" s="172"/>
      <c r="I38" s="178"/>
      <c r="J38" s="173"/>
      <c r="K38" s="11"/>
      <c r="L38" s="471"/>
      <c r="M38" s="471"/>
      <c r="N38" s="211"/>
      <c r="O38" s="506"/>
      <c r="P38" s="506"/>
      <c r="Q38" s="506"/>
      <c r="R38" s="506"/>
      <c r="S38" s="506"/>
      <c r="T38" s="506"/>
      <c r="U38" s="506"/>
      <c r="V38" s="506"/>
      <c r="W38" s="506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6"/>
      <c r="AJ38" s="506"/>
      <c r="AK38" s="506"/>
      <c r="AL38" s="506"/>
      <c r="AM38" s="506"/>
      <c r="AN38" s="506"/>
      <c r="AO38" s="506"/>
      <c r="AP38" s="506"/>
      <c r="AQ38" s="506"/>
      <c r="AR38" s="506"/>
    </row>
    <row r="39" spans="2:44" s="67" customFormat="1">
      <c r="B39" s="175"/>
      <c r="C39" s="175"/>
      <c r="D39" s="178"/>
      <c r="E39" s="178"/>
      <c r="F39" s="178"/>
      <c r="G39" s="172"/>
      <c r="H39" s="172"/>
      <c r="I39" s="178"/>
      <c r="J39" s="175"/>
      <c r="K39" s="36"/>
      <c r="L39" s="471"/>
      <c r="M39" s="471"/>
      <c r="N39" s="211"/>
      <c r="O39" s="506"/>
      <c r="P39" s="506"/>
      <c r="Q39" s="506"/>
      <c r="R39" s="506"/>
      <c r="S39" s="506"/>
      <c r="T39" s="506"/>
      <c r="U39" s="506"/>
      <c r="V39" s="506"/>
      <c r="W39" s="506"/>
      <c r="X39" s="506"/>
      <c r="Y39" s="506"/>
      <c r="Z39" s="506"/>
      <c r="AA39" s="506"/>
      <c r="AB39" s="506"/>
      <c r="AC39" s="506"/>
      <c r="AD39" s="506"/>
      <c r="AE39" s="506"/>
      <c r="AF39" s="506"/>
      <c r="AG39" s="506"/>
      <c r="AH39" s="506"/>
      <c r="AI39" s="506"/>
      <c r="AJ39" s="506"/>
      <c r="AK39" s="506"/>
      <c r="AL39" s="506"/>
      <c r="AM39" s="506"/>
      <c r="AN39" s="506"/>
      <c r="AO39" s="506"/>
      <c r="AP39" s="506"/>
      <c r="AQ39" s="506"/>
      <c r="AR39" s="506"/>
    </row>
    <row r="40" spans="2:44" s="67" customFormat="1">
      <c r="B40" s="175"/>
      <c r="C40" s="175"/>
      <c r="D40" s="178"/>
      <c r="E40" s="178"/>
      <c r="F40" s="178"/>
      <c r="G40" s="172"/>
      <c r="H40" s="172"/>
      <c r="I40" s="178"/>
      <c r="J40" s="173"/>
      <c r="K40" s="11"/>
      <c r="L40" s="471"/>
      <c r="M40" s="471"/>
      <c r="N40" s="211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Z40" s="506"/>
      <c r="AA40" s="506"/>
      <c r="AB40" s="506"/>
      <c r="AC40" s="506"/>
      <c r="AD40" s="506"/>
      <c r="AE40" s="506"/>
      <c r="AF40" s="506"/>
      <c r="AG40" s="506"/>
      <c r="AH40" s="506"/>
      <c r="AI40" s="506"/>
      <c r="AJ40" s="506"/>
      <c r="AK40" s="506"/>
      <c r="AL40" s="506"/>
      <c r="AM40" s="506"/>
      <c r="AN40" s="506"/>
      <c r="AO40" s="506"/>
      <c r="AP40" s="506"/>
      <c r="AQ40" s="506"/>
      <c r="AR40" s="506"/>
    </row>
    <row r="41" spans="2:44" s="67" customFormat="1">
      <c r="B41" s="175"/>
      <c r="C41" s="175"/>
      <c r="D41" s="178"/>
      <c r="E41" s="178"/>
      <c r="F41" s="178"/>
      <c r="G41" s="172"/>
      <c r="H41" s="172"/>
      <c r="I41" s="178"/>
      <c r="J41" s="175"/>
      <c r="K41" s="36"/>
      <c r="L41" s="471"/>
      <c r="M41" s="471"/>
      <c r="N41" s="211"/>
      <c r="O41" s="506"/>
      <c r="P41" s="506"/>
      <c r="Q41" s="506"/>
      <c r="R41" s="506"/>
      <c r="S41" s="506"/>
      <c r="T41" s="506"/>
      <c r="U41" s="506"/>
      <c r="V41" s="506"/>
      <c r="W41" s="506"/>
      <c r="X41" s="506"/>
      <c r="Y41" s="506"/>
      <c r="Z41" s="506"/>
      <c r="AA41" s="506"/>
      <c r="AB41" s="506"/>
      <c r="AC41" s="506"/>
      <c r="AD41" s="506"/>
      <c r="AE41" s="506"/>
      <c r="AF41" s="506"/>
      <c r="AG41" s="506"/>
      <c r="AH41" s="506"/>
      <c r="AI41" s="506"/>
      <c r="AJ41" s="506"/>
      <c r="AK41" s="506"/>
      <c r="AL41" s="506"/>
      <c r="AM41" s="506"/>
      <c r="AN41" s="506"/>
      <c r="AO41" s="506"/>
      <c r="AP41" s="506"/>
      <c r="AQ41" s="506"/>
      <c r="AR41" s="506"/>
    </row>
    <row r="42" spans="2:44" ht="18" customHeight="1"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</row>
    <row r="43" spans="2:44" ht="18" customHeight="1">
      <c r="N43" s="211"/>
    </row>
    <row r="44" spans="2:44" ht="18" customHeight="1"/>
    <row r="45" spans="2:44" ht="18" customHeight="1"/>
    <row r="46" spans="2:44" ht="18" customHeight="1"/>
    <row r="47" spans="2:44" ht="18" customHeight="1"/>
    <row r="48" spans="2:44" ht="18" customHeight="1"/>
    <row r="50" ht="15" customHeight="1"/>
  </sheetData>
  <mergeCells count="28">
    <mergeCell ref="A14:F15"/>
    <mergeCell ref="B28:L28"/>
    <mergeCell ref="B26:L26"/>
    <mergeCell ref="E20:F20"/>
    <mergeCell ref="E17:F17"/>
    <mergeCell ref="E18:F18"/>
    <mergeCell ref="G14:G15"/>
    <mergeCell ref="J14:J15"/>
    <mergeCell ref="B27:L27"/>
    <mergeCell ref="A24:F24"/>
    <mergeCell ref="A17:D18"/>
    <mergeCell ref="A22:F22"/>
    <mergeCell ref="A7:C7"/>
    <mergeCell ref="B29:L29"/>
    <mergeCell ref="A19:D20"/>
    <mergeCell ref="E19:F19"/>
    <mergeCell ref="J5:J6"/>
    <mergeCell ref="A8:A11"/>
    <mergeCell ref="B8:C8"/>
    <mergeCell ref="B9:C9"/>
    <mergeCell ref="B11:C11"/>
    <mergeCell ref="B10:C10"/>
    <mergeCell ref="G5:G6"/>
    <mergeCell ref="A5:C6"/>
    <mergeCell ref="D5:D6"/>
    <mergeCell ref="E5:E6"/>
    <mergeCell ref="F5:F6"/>
    <mergeCell ref="A23:F23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8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9">
    <tabColor theme="1" tint="0.14999847407452621"/>
  </sheetPr>
  <dimension ref="A1:H89"/>
  <sheetViews>
    <sheetView view="pageBreakPreview" topLeftCell="A21" zoomScale="80" zoomScaleNormal="100" zoomScaleSheetLayoutView="80" workbookViewId="0">
      <selection activeCell="B9" sqref="B9"/>
    </sheetView>
  </sheetViews>
  <sheetFormatPr defaultColWidth="9.140625" defaultRowHeight="15"/>
  <cols>
    <col min="1" max="1" width="4" style="386" bestFit="1" customWidth="1"/>
    <col min="2" max="2" width="24.5703125" style="386" customWidth="1"/>
    <col min="3" max="3" width="21.7109375" style="386" bestFit="1" customWidth="1"/>
    <col min="4" max="4" width="27.28515625" style="386" bestFit="1" customWidth="1"/>
    <col min="5" max="5" width="16" style="394" hidden="1" customWidth="1"/>
    <col min="6" max="6" width="17.85546875" style="386" hidden="1" customWidth="1"/>
    <col min="7" max="7" width="20.42578125" style="394" hidden="1" customWidth="1"/>
    <col min="8" max="8" width="16.140625" style="395" customWidth="1"/>
    <col min="9" max="16384" width="9.140625" style="386"/>
  </cols>
  <sheetData>
    <row r="1" spans="1:8" s="388" customFormat="1" ht="12" hidden="1">
      <c r="B1" s="389" t="s">
        <v>308</v>
      </c>
      <c r="C1" s="389" t="s">
        <v>309</v>
      </c>
      <c r="D1" s="389" t="s">
        <v>310</v>
      </c>
      <c r="G1" s="390"/>
      <c r="H1" s="391"/>
    </row>
    <row r="2" spans="1:8" hidden="1">
      <c r="B2" s="392" t="s">
        <v>311</v>
      </c>
      <c r="C2" s="393">
        <v>0</v>
      </c>
      <c r="D2" s="392" t="s">
        <v>312</v>
      </c>
      <c r="E2" s="386"/>
    </row>
    <row r="3" spans="1:8" hidden="1">
      <c r="B3" s="392" t="s">
        <v>313</v>
      </c>
      <c r="C3" s="393">
        <v>0.03</v>
      </c>
      <c r="D3" s="392" t="s">
        <v>314</v>
      </c>
      <c r="E3" s="386"/>
    </row>
    <row r="4" spans="1:8" hidden="1">
      <c r="B4" s="392" t="s">
        <v>315</v>
      </c>
      <c r="C4" s="393">
        <v>0.05</v>
      </c>
      <c r="D4" s="392" t="s">
        <v>316</v>
      </c>
      <c r="E4" s="386"/>
    </row>
    <row r="5" spans="1:8" hidden="1">
      <c r="B5" s="392" t="s">
        <v>317</v>
      </c>
      <c r="C5" s="393">
        <v>0.1</v>
      </c>
      <c r="D5" s="392" t="s">
        <v>318</v>
      </c>
      <c r="E5" s="386"/>
    </row>
    <row r="6" spans="1:8" hidden="1">
      <c r="B6" s="392" t="s">
        <v>319</v>
      </c>
      <c r="C6" s="393">
        <v>0.12</v>
      </c>
      <c r="D6" s="392" t="s">
        <v>320</v>
      </c>
      <c r="E6" s="386"/>
    </row>
    <row r="7" spans="1:8" hidden="1">
      <c r="B7" s="392" t="s">
        <v>321</v>
      </c>
      <c r="C7" s="393">
        <v>0.18</v>
      </c>
      <c r="D7" s="392" t="s">
        <v>322</v>
      </c>
      <c r="E7" s="386"/>
    </row>
    <row r="8" spans="1:8" hidden="1">
      <c r="B8" s="392" t="s">
        <v>323</v>
      </c>
      <c r="C8" s="393">
        <v>0.2</v>
      </c>
      <c r="D8" s="392" t="s">
        <v>324</v>
      </c>
      <c r="E8" s="386"/>
    </row>
    <row r="9" spans="1:8" s="387" customFormat="1">
      <c r="B9" s="23"/>
      <c r="C9" s="422"/>
      <c r="D9" s="23"/>
      <c r="G9" s="394"/>
      <c r="H9" s="395"/>
    </row>
    <row r="10" spans="1:8" s="387" customFormat="1">
      <c r="B10" s="23"/>
      <c r="C10" s="422"/>
      <c r="D10" s="23"/>
      <c r="G10" s="394"/>
      <c r="H10" s="395"/>
    </row>
    <row r="11" spans="1:8" s="387" customFormat="1" ht="15.75">
      <c r="B11" s="373" t="s">
        <v>831</v>
      </c>
      <c r="C11" s="422"/>
      <c r="D11" s="23"/>
      <c r="G11" s="394"/>
      <c r="H11" s="395"/>
    </row>
    <row r="13" spans="1:8" s="92" customFormat="1" ht="30">
      <c r="A13" s="396"/>
      <c r="B13" s="397" t="s">
        <v>325</v>
      </c>
      <c r="C13" s="397" t="s">
        <v>326</v>
      </c>
      <c r="D13" s="397" t="s">
        <v>327</v>
      </c>
      <c r="E13" s="398" t="s">
        <v>328</v>
      </c>
      <c r="F13" s="397" t="s">
        <v>329</v>
      </c>
      <c r="G13" s="398" t="s">
        <v>330</v>
      </c>
      <c r="H13" s="397" t="s">
        <v>331</v>
      </c>
    </row>
    <row r="14" spans="1:8">
      <c r="A14" s="399">
        <v>1</v>
      </c>
      <c r="B14" s="400" t="s">
        <v>332</v>
      </c>
      <c r="C14" s="401" t="s">
        <v>333</v>
      </c>
      <c r="D14" s="401" t="s">
        <v>334</v>
      </c>
      <c r="E14" s="402">
        <v>200636</v>
      </c>
      <c r="F14" s="396" t="s">
        <v>335</v>
      </c>
      <c r="G14" s="403">
        <v>8600</v>
      </c>
      <c r="H14" s="404">
        <v>0.2</v>
      </c>
    </row>
    <row r="15" spans="1:8">
      <c r="A15" s="399">
        <v>2</v>
      </c>
      <c r="B15" s="400" t="s">
        <v>336</v>
      </c>
      <c r="C15" s="401" t="s">
        <v>337</v>
      </c>
      <c r="D15" s="401" t="s">
        <v>334</v>
      </c>
      <c r="E15" s="402">
        <v>92052</v>
      </c>
      <c r="F15" s="396" t="s">
        <v>335</v>
      </c>
      <c r="G15" s="403">
        <v>9291</v>
      </c>
      <c r="H15" s="404">
        <v>0.2</v>
      </c>
    </row>
    <row r="16" spans="1:8">
      <c r="A16" s="399">
        <v>3</v>
      </c>
      <c r="B16" s="400" t="s">
        <v>338</v>
      </c>
      <c r="C16" s="401" t="s">
        <v>339</v>
      </c>
      <c r="D16" s="401" t="s">
        <v>334</v>
      </c>
      <c r="E16" s="402">
        <v>179586</v>
      </c>
      <c r="F16" s="396" t="s">
        <v>340</v>
      </c>
      <c r="G16" s="403">
        <v>10500</v>
      </c>
      <c r="H16" s="404">
        <v>0.2</v>
      </c>
    </row>
    <row r="17" spans="1:8">
      <c r="A17" s="399">
        <v>4</v>
      </c>
      <c r="B17" s="400" t="s">
        <v>341</v>
      </c>
      <c r="C17" s="401" t="s">
        <v>342</v>
      </c>
      <c r="D17" s="401" t="s">
        <v>334</v>
      </c>
      <c r="E17" s="402">
        <v>592069</v>
      </c>
      <c r="F17" s="396" t="s">
        <v>343</v>
      </c>
      <c r="G17" s="403">
        <v>8356</v>
      </c>
      <c r="H17" s="404">
        <v>0.18</v>
      </c>
    </row>
    <row r="18" spans="1:8">
      <c r="A18" s="399">
        <v>5</v>
      </c>
      <c r="B18" s="400" t="s">
        <v>344</v>
      </c>
      <c r="C18" s="401" t="s">
        <v>345</v>
      </c>
      <c r="D18" s="401" t="s">
        <v>334</v>
      </c>
      <c r="E18" s="402">
        <v>263906</v>
      </c>
      <c r="F18" s="396" t="s">
        <v>343</v>
      </c>
      <c r="G18" s="403">
        <v>7993</v>
      </c>
      <c r="H18" s="404">
        <v>0.18</v>
      </c>
    </row>
    <row r="19" spans="1:8">
      <c r="A19" s="399">
        <v>6</v>
      </c>
      <c r="B19" s="400" t="s">
        <v>346</v>
      </c>
      <c r="C19" s="401" t="s">
        <v>345</v>
      </c>
      <c r="D19" s="401" t="s">
        <v>334</v>
      </c>
      <c r="E19" s="402">
        <v>577668</v>
      </c>
      <c r="F19" s="396" t="s">
        <v>343</v>
      </c>
      <c r="G19" s="403">
        <v>7599</v>
      </c>
      <c r="H19" s="404">
        <v>0.18</v>
      </c>
    </row>
    <row r="20" spans="1:8">
      <c r="A20" s="399">
        <v>7</v>
      </c>
      <c r="B20" s="400" t="s">
        <v>347</v>
      </c>
      <c r="C20" s="401" t="s">
        <v>348</v>
      </c>
      <c r="D20" s="401" t="s">
        <v>334</v>
      </c>
      <c r="E20" s="402">
        <v>269486</v>
      </c>
      <c r="F20" s="396" t="s">
        <v>349</v>
      </c>
      <c r="G20" s="403">
        <v>7568</v>
      </c>
      <c r="H20" s="404">
        <v>0.18</v>
      </c>
    </row>
    <row r="21" spans="1:8">
      <c r="A21" s="399">
        <v>8</v>
      </c>
      <c r="B21" s="400" t="s">
        <v>350</v>
      </c>
      <c r="C21" s="401" t="s">
        <v>351</v>
      </c>
      <c r="D21" s="401" t="s">
        <v>334</v>
      </c>
      <c r="E21" s="402">
        <v>214397</v>
      </c>
      <c r="F21" s="396" t="s">
        <v>349</v>
      </c>
      <c r="G21" s="403">
        <v>7029</v>
      </c>
      <c r="H21" s="404">
        <v>0.18</v>
      </c>
    </row>
    <row r="22" spans="1:8">
      <c r="A22" s="399">
        <v>9</v>
      </c>
      <c r="B22" s="400" t="s">
        <v>352</v>
      </c>
      <c r="C22" s="401" t="s">
        <v>353</v>
      </c>
      <c r="D22" s="401" t="s">
        <v>334</v>
      </c>
      <c r="E22" s="402">
        <v>323964</v>
      </c>
      <c r="F22" s="396" t="s">
        <v>349</v>
      </c>
      <c r="G22" s="403">
        <v>5501</v>
      </c>
      <c r="H22" s="404">
        <v>0.12</v>
      </c>
    </row>
    <row r="23" spans="1:8">
      <c r="A23" s="399">
        <v>10</v>
      </c>
      <c r="B23" s="400" t="s">
        <v>354</v>
      </c>
      <c r="C23" s="401" t="s">
        <v>355</v>
      </c>
      <c r="D23" s="401" t="s">
        <v>334</v>
      </c>
      <c r="E23" s="402">
        <v>404357</v>
      </c>
      <c r="F23" s="396" t="s">
        <v>356</v>
      </c>
      <c r="G23" s="403">
        <v>4842</v>
      </c>
      <c r="H23" s="404">
        <v>0.12</v>
      </c>
    </row>
    <row r="24" spans="1:8">
      <c r="A24" s="399">
        <v>11</v>
      </c>
      <c r="B24" s="400" t="s">
        <v>357</v>
      </c>
      <c r="C24" s="401" t="s">
        <v>358</v>
      </c>
      <c r="D24" s="401" t="s">
        <v>359</v>
      </c>
      <c r="E24" s="402">
        <v>587225</v>
      </c>
      <c r="F24" s="396" t="s">
        <v>356</v>
      </c>
      <c r="G24" s="403">
        <v>4411</v>
      </c>
      <c r="H24" s="405">
        <v>0.12</v>
      </c>
    </row>
    <row r="25" spans="1:8">
      <c r="A25" s="399">
        <v>12</v>
      </c>
      <c r="B25" s="400" t="s">
        <v>360</v>
      </c>
      <c r="C25" s="401" t="s">
        <v>361</v>
      </c>
      <c r="D25" s="401" t="s">
        <v>359</v>
      </c>
      <c r="E25" s="402">
        <v>973891</v>
      </c>
      <c r="F25" s="396" t="s">
        <v>362</v>
      </c>
      <c r="G25" s="403">
        <v>3346</v>
      </c>
      <c r="H25" s="405">
        <v>0.12</v>
      </c>
    </row>
    <row r="26" spans="1:8">
      <c r="A26" s="399">
        <v>13</v>
      </c>
      <c r="B26" s="400" t="s">
        <v>363</v>
      </c>
      <c r="C26" s="401" t="s">
        <v>364</v>
      </c>
      <c r="D26" s="401" t="s">
        <v>359</v>
      </c>
      <c r="E26" s="402">
        <v>522940</v>
      </c>
      <c r="F26" s="396" t="s">
        <v>365</v>
      </c>
      <c r="G26" s="403">
        <v>2829</v>
      </c>
      <c r="H26" s="405">
        <v>0.1</v>
      </c>
    </row>
    <row r="27" spans="1:8">
      <c r="A27" s="399">
        <v>14</v>
      </c>
      <c r="B27" s="400" t="s">
        <v>366</v>
      </c>
      <c r="C27" s="401" t="s">
        <v>367</v>
      </c>
      <c r="D27" s="401" t="s">
        <v>359</v>
      </c>
      <c r="E27" s="402">
        <v>532884</v>
      </c>
      <c r="F27" s="396" t="s">
        <v>362</v>
      </c>
      <c r="G27" s="403">
        <v>2826</v>
      </c>
      <c r="H27" s="405">
        <v>0.1</v>
      </c>
    </row>
    <row r="28" spans="1:8">
      <c r="A28" s="399">
        <v>15</v>
      </c>
      <c r="B28" s="400" t="s">
        <v>368</v>
      </c>
      <c r="C28" s="401" t="s">
        <v>369</v>
      </c>
      <c r="D28" s="401" t="s">
        <v>359</v>
      </c>
      <c r="E28" s="402">
        <v>612091</v>
      </c>
      <c r="F28" s="396" t="s">
        <v>365</v>
      </c>
      <c r="G28" s="403">
        <v>2800</v>
      </c>
      <c r="H28" s="405">
        <v>0.1</v>
      </c>
    </row>
    <row r="29" spans="1:8" ht="30">
      <c r="A29" s="399">
        <v>16</v>
      </c>
      <c r="B29" s="400" t="s">
        <v>370</v>
      </c>
      <c r="C29" s="401" t="s">
        <v>371</v>
      </c>
      <c r="D29" s="401" t="s">
        <v>359</v>
      </c>
      <c r="E29" s="402">
        <v>1473737</v>
      </c>
      <c r="F29" s="396" t="s">
        <v>365</v>
      </c>
      <c r="G29" s="403">
        <v>2575</v>
      </c>
      <c r="H29" s="405">
        <v>0.1</v>
      </c>
    </row>
    <row r="30" spans="1:8">
      <c r="A30" s="399">
        <v>17</v>
      </c>
      <c r="B30" s="400" t="s">
        <v>372</v>
      </c>
      <c r="C30" s="401" t="s">
        <v>373</v>
      </c>
      <c r="D30" s="401" t="s">
        <v>359</v>
      </c>
      <c r="E30" s="402">
        <v>1153971</v>
      </c>
      <c r="F30" s="396" t="s">
        <v>365</v>
      </c>
      <c r="G30" s="403">
        <v>1924</v>
      </c>
      <c r="H30" s="405">
        <v>0.1</v>
      </c>
    </row>
    <row r="31" spans="1:8" ht="30">
      <c r="A31" s="399">
        <v>18</v>
      </c>
      <c r="B31" s="400" t="s">
        <v>374</v>
      </c>
      <c r="C31" s="401" t="s">
        <v>375</v>
      </c>
      <c r="D31" s="401" t="s">
        <v>376</v>
      </c>
      <c r="E31" s="402">
        <v>251860</v>
      </c>
      <c r="F31" s="396" t="s">
        <v>377</v>
      </c>
      <c r="G31" s="403">
        <v>2412</v>
      </c>
      <c r="H31" s="405">
        <v>0.1</v>
      </c>
    </row>
    <row r="32" spans="1:8" ht="30">
      <c r="A32" s="399">
        <v>19</v>
      </c>
      <c r="B32" s="400" t="s">
        <v>378</v>
      </c>
      <c r="C32" s="401" t="s">
        <v>375</v>
      </c>
      <c r="D32" s="401" t="s">
        <v>376</v>
      </c>
      <c r="E32" s="402">
        <v>306703</v>
      </c>
      <c r="F32" s="396" t="s">
        <v>377</v>
      </c>
      <c r="G32" s="403">
        <v>2198</v>
      </c>
      <c r="H32" s="405">
        <v>0.1</v>
      </c>
    </row>
    <row r="33" spans="1:8">
      <c r="A33" s="399">
        <v>20</v>
      </c>
      <c r="B33" s="400" t="s">
        <v>379</v>
      </c>
      <c r="C33" s="401" t="s">
        <v>380</v>
      </c>
      <c r="D33" s="401" t="s">
        <v>376</v>
      </c>
      <c r="E33" s="402">
        <v>581758</v>
      </c>
      <c r="F33" s="396" t="s">
        <v>377</v>
      </c>
      <c r="G33" s="403">
        <v>1412</v>
      </c>
      <c r="H33" s="404">
        <v>0.05</v>
      </c>
    </row>
    <row r="34" spans="1:8">
      <c r="A34" s="399">
        <v>21</v>
      </c>
      <c r="B34" s="400" t="s">
        <v>381</v>
      </c>
      <c r="C34" s="401" t="s">
        <v>382</v>
      </c>
      <c r="D34" s="401" t="s">
        <v>376</v>
      </c>
      <c r="E34" s="402">
        <v>333640</v>
      </c>
      <c r="F34" s="396" t="s">
        <v>377</v>
      </c>
      <c r="G34" s="403">
        <v>1276</v>
      </c>
      <c r="H34" s="404">
        <v>0.05</v>
      </c>
    </row>
    <row r="35" spans="1:8">
      <c r="A35" s="399">
        <v>22</v>
      </c>
      <c r="B35" s="400" t="s">
        <v>383</v>
      </c>
      <c r="C35" s="401" t="s">
        <v>384</v>
      </c>
      <c r="D35" s="401" t="s">
        <v>376</v>
      </c>
      <c r="E35" s="402">
        <v>1350136</v>
      </c>
      <c r="F35" s="396" t="s">
        <v>377</v>
      </c>
      <c r="G35" s="403">
        <v>1123</v>
      </c>
      <c r="H35" s="404">
        <v>0.05</v>
      </c>
    </row>
    <row r="36" spans="1:8" s="11" customFormat="1">
      <c r="A36" s="406">
        <v>23</v>
      </c>
      <c r="B36" s="400" t="s">
        <v>385</v>
      </c>
      <c r="C36" s="407" t="s">
        <v>386</v>
      </c>
      <c r="D36" s="407" t="s">
        <v>376</v>
      </c>
      <c r="E36" s="408">
        <v>1130273</v>
      </c>
      <c r="F36" s="409" t="s">
        <v>377</v>
      </c>
      <c r="G36" s="410">
        <v>1000</v>
      </c>
      <c r="H36" s="411">
        <v>0.05</v>
      </c>
    </row>
    <row r="37" spans="1:8" s="11" customFormat="1">
      <c r="A37" s="406">
        <v>24</v>
      </c>
      <c r="B37" s="400" t="s">
        <v>387</v>
      </c>
      <c r="C37" s="407" t="s">
        <v>388</v>
      </c>
      <c r="D37" s="407" t="s">
        <v>389</v>
      </c>
      <c r="E37" s="408">
        <v>991530</v>
      </c>
      <c r="F37" s="409" t="s">
        <v>377</v>
      </c>
      <c r="G37" s="410">
        <v>806</v>
      </c>
      <c r="H37" s="411">
        <v>0.03</v>
      </c>
    </row>
    <row r="38" spans="1:8" s="11" customFormat="1">
      <c r="A38" s="406">
        <v>25</v>
      </c>
      <c r="B38" s="400" t="s">
        <v>390</v>
      </c>
      <c r="C38" s="407" t="s">
        <v>391</v>
      </c>
      <c r="D38" s="407" t="s">
        <v>389</v>
      </c>
      <c r="E38" s="408">
        <v>546987</v>
      </c>
      <c r="F38" s="409" t="s">
        <v>377</v>
      </c>
      <c r="G38" s="410">
        <v>645</v>
      </c>
      <c r="H38" s="411">
        <v>0.03</v>
      </c>
    </row>
    <row r="39" spans="1:8" s="11" customFormat="1">
      <c r="A39" s="406">
        <v>26</v>
      </c>
      <c r="B39" s="400" t="s">
        <v>392</v>
      </c>
      <c r="C39" s="407" t="s">
        <v>393</v>
      </c>
      <c r="D39" s="407" t="s">
        <v>389</v>
      </c>
      <c r="E39" s="408">
        <v>473668</v>
      </c>
      <c r="F39" s="409" t="s">
        <v>394</v>
      </c>
      <c r="G39" s="410">
        <v>620</v>
      </c>
      <c r="H39" s="411">
        <v>0.03</v>
      </c>
    </row>
    <row r="40" spans="1:8" s="11" customFormat="1">
      <c r="A40" s="406">
        <v>27</v>
      </c>
      <c r="B40" s="400" t="s">
        <v>395</v>
      </c>
      <c r="C40" s="407" t="s">
        <v>396</v>
      </c>
      <c r="D40" s="407" t="s">
        <v>389</v>
      </c>
      <c r="E40" s="408">
        <v>1062300</v>
      </c>
      <c r="F40" s="409" t="s">
        <v>377</v>
      </c>
      <c r="G40" s="410">
        <v>600</v>
      </c>
      <c r="H40" s="411">
        <v>0.03</v>
      </c>
    </row>
    <row r="41" spans="1:8" s="11" customFormat="1">
      <c r="A41" s="406">
        <v>28</v>
      </c>
      <c r="B41" s="400" t="s">
        <v>397</v>
      </c>
      <c r="C41" s="407" t="s">
        <v>398</v>
      </c>
      <c r="D41" s="407" t="s">
        <v>389</v>
      </c>
      <c r="E41" s="408">
        <v>628116</v>
      </c>
      <c r="F41" s="409" t="s">
        <v>399</v>
      </c>
      <c r="G41" s="410">
        <v>591</v>
      </c>
      <c r="H41" s="411">
        <v>0</v>
      </c>
    </row>
    <row r="42" spans="1:8" s="11" customFormat="1">
      <c r="A42" s="406">
        <v>29</v>
      </c>
      <c r="B42" s="400" t="s">
        <v>400</v>
      </c>
      <c r="C42" s="407" t="s">
        <v>401</v>
      </c>
      <c r="D42" s="407" t="s">
        <v>389</v>
      </c>
      <c r="E42" s="408">
        <v>837831</v>
      </c>
      <c r="F42" s="409" t="s">
        <v>394</v>
      </c>
      <c r="G42" s="410">
        <v>447</v>
      </c>
      <c r="H42" s="411">
        <v>0</v>
      </c>
    </row>
    <row r="43" spans="1:8" s="11" customFormat="1" ht="30">
      <c r="A43" s="406">
        <v>30</v>
      </c>
      <c r="B43" s="400" t="s">
        <v>402</v>
      </c>
      <c r="C43" s="407" t="s">
        <v>403</v>
      </c>
      <c r="D43" s="407" t="s">
        <v>389</v>
      </c>
      <c r="E43" s="408">
        <v>1250615</v>
      </c>
      <c r="F43" s="409" t="s">
        <v>394</v>
      </c>
      <c r="G43" s="410">
        <v>440</v>
      </c>
      <c r="H43" s="405">
        <v>0</v>
      </c>
    </row>
    <row r="44" spans="1:8" s="11" customFormat="1">
      <c r="A44" s="406">
        <v>31</v>
      </c>
      <c r="B44" s="400" t="s">
        <v>404</v>
      </c>
      <c r="C44" s="407" t="s">
        <v>405</v>
      </c>
      <c r="D44" s="407" t="s">
        <v>389</v>
      </c>
      <c r="E44" s="408">
        <v>517137</v>
      </c>
      <c r="F44" s="409" t="s">
        <v>394</v>
      </c>
      <c r="G44" s="410">
        <v>378</v>
      </c>
      <c r="H44" s="411">
        <v>0</v>
      </c>
    </row>
    <row r="45" spans="1:8" s="11" customFormat="1">
      <c r="A45" s="406">
        <v>32</v>
      </c>
      <c r="B45" s="400" t="s">
        <v>406</v>
      </c>
      <c r="C45" s="407" t="s">
        <v>407</v>
      </c>
      <c r="D45" s="407" t="s">
        <v>389</v>
      </c>
      <c r="E45" s="408">
        <v>248688</v>
      </c>
      <c r="F45" s="409" t="s">
        <v>394</v>
      </c>
      <c r="G45" s="410">
        <v>318</v>
      </c>
      <c r="H45" s="411">
        <v>0</v>
      </c>
    </row>
    <row r="46" spans="1:8" s="11" customFormat="1">
      <c r="A46" s="406">
        <v>33</v>
      </c>
      <c r="B46" s="400" t="s">
        <v>408</v>
      </c>
      <c r="C46" s="407" t="s">
        <v>409</v>
      </c>
      <c r="D46" s="407" t="s">
        <v>389</v>
      </c>
      <c r="E46" s="408">
        <v>1164896</v>
      </c>
      <c r="F46" s="409" t="s">
        <v>399</v>
      </c>
      <c r="G46" s="410">
        <v>254</v>
      </c>
      <c r="H46" s="411">
        <v>0</v>
      </c>
    </row>
    <row r="47" spans="1:8" s="11" customFormat="1">
      <c r="A47" s="406">
        <v>34</v>
      </c>
      <c r="B47" s="400" t="s">
        <v>410</v>
      </c>
      <c r="C47" s="407" t="s">
        <v>411</v>
      </c>
      <c r="D47" s="407" t="s">
        <v>389</v>
      </c>
      <c r="E47" s="408">
        <v>453645</v>
      </c>
      <c r="F47" s="409" t="s">
        <v>394</v>
      </c>
      <c r="G47" s="410">
        <v>236</v>
      </c>
      <c r="H47" s="411">
        <v>0</v>
      </c>
    </row>
    <row r="48" spans="1:8" s="11" customFormat="1">
      <c r="A48" s="406">
        <v>35</v>
      </c>
      <c r="B48" s="400" t="s">
        <v>412</v>
      </c>
      <c r="C48" s="407" t="s">
        <v>413</v>
      </c>
      <c r="D48" s="407" t="s">
        <v>389</v>
      </c>
      <c r="E48" s="408">
        <v>297425</v>
      </c>
      <c r="F48" s="409" t="s">
        <v>394</v>
      </c>
      <c r="G48" s="410">
        <v>233</v>
      </c>
      <c r="H48" s="411">
        <v>0</v>
      </c>
    </row>
    <row r="49" spans="1:8" s="11" customFormat="1">
      <c r="A49" s="406">
        <v>36</v>
      </c>
      <c r="B49" s="400" t="s">
        <v>414</v>
      </c>
      <c r="C49" s="407" t="s">
        <v>415</v>
      </c>
      <c r="D49" s="407" t="s">
        <v>389</v>
      </c>
      <c r="E49" s="408">
        <v>1143546</v>
      </c>
      <c r="F49" s="409" t="s">
        <v>399</v>
      </c>
      <c r="G49" s="410">
        <v>226</v>
      </c>
      <c r="H49" s="411">
        <v>0</v>
      </c>
    </row>
    <row r="50" spans="1:8" s="11" customFormat="1">
      <c r="A50" s="406">
        <v>37</v>
      </c>
      <c r="B50" s="400" t="s">
        <v>416</v>
      </c>
      <c r="C50" s="407" t="s">
        <v>417</v>
      </c>
      <c r="D50" s="407" t="s">
        <v>389</v>
      </c>
      <c r="E50" s="408">
        <v>613793</v>
      </c>
      <c r="F50" s="409" t="s">
        <v>394</v>
      </c>
      <c r="G50" s="410">
        <v>0</v>
      </c>
      <c r="H50" s="411">
        <v>0</v>
      </c>
    </row>
    <row r="51" spans="1:8" s="11" customFormat="1">
      <c r="A51" s="406">
        <v>38</v>
      </c>
      <c r="B51" s="400" t="s">
        <v>418</v>
      </c>
      <c r="C51" s="407" t="s">
        <v>419</v>
      </c>
      <c r="D51" s="407" t="s">
        <v>420</v>
      </c>
      <c r="E51" s="408">
        <v>326863</v>
      </c>
      <c r="F51" s="409" t="s">
        <v>394</v>
      </c>
      <c r="G51" s="410">
        <v>1266</v>
      </c>
      <c r="H51" s="411">
        <v>0.05</v>
      </c>
    </row>
    <row r="52" spans="1:8" s="11" customFormat="1">
      <c r="A52" s="406">
        <v>39</v>
      </c>
      <c r="B52" s="400" t="s">
        <v>421</v>
      </c>
      <c r="C52" s="407" t="s">
        <v>422</v>
      </c>
      <c r="D52" s="407" t="s">
        <v>420</v>
      </c>
      <c r="E52" s="408">
        <v>415640</v>
      </c>
      <c r="F52" s="409" t="s">
        <v>394</v>
      </c>
      <c r="G52" s="410">
        <v>1204</v>
      </c>
      <c r="H52" s="411">
        <v>0.05</v>
      </c>
    </row>
    <row r="53" spans="1:8" s="11" customFormat="1">
      <c r="A53" s="406">
        <v>40</v>
      </c>
      <c r="B53" s="400" t="s">
        <v>423</v>
      </c>
      <c r="C53" s="407" t="s">
        <v>424</v>
      </c>
      <c r="D53" s="407" t="s">
        <v>420</v>
      </c>
      <c r="E53" s="408">
        <v>356426</v>
      </c>
      <c r="F53" s="409" t="s">
        <v>394</v>
      </c>
      <c r="G53" s="410">
        <v>1122</v>
      </c>
      <c r="H53" s="411">
        <v>0.05</v>
      </c>
    </row>
    <row r="54" spans="1:8" s="11" customFormat="1">
      <c r="A54" s="406">
        <v>41</v>
      </c>
      <c r="B54" s="400" t="s">
        <v>425</v>
      </c>
      <c r="C54" s="407" t="s">
        <v>426</v>
      </c>
      <c r="D54" s="407" t="s">
        <v>420</v>
      </c>
      <c r="E54" s="408">
        <v>414595</v>
      </c>
      <c r="F54" s="409" t="s">
        <v>394</v>
      </c>
      <c r="G54" s="410">
        <v>1093</v>
      </c>
      <c r="H54" s="411">
        <v>0.03</v>
      </c>
    </row>
    <row r="55" spans="1:8" s="11" customFormat="1">
      <c r="A55" s="406">
        <v>42</v>
      </c>
      <c r="B55" s="400" t="s">
        <v>427</v>
      </c>
      <c r="C55" s="407" t="s">
        <v>428</v>
      </c>
      <c r="D55" s="407" t="s">
        <v>420</v>
      </c>
      <c r="E55" s="408">
        <v>317854</v>
      </c>
      <c r="F55" s="409" t="s">
        <v>394</v>
      </c>
      <c r="G55" s="410">
        <v>1074</v>
      </c>
      <c r="H55" s="411">
        <v>0.03</v>
      </c>
    </row>
    <row r="56" spans="1:8" s="11" customFormat="1">
      <c r="A56" s="406">
        <v>43</v>
      </c>
      <c r="B56" s="400" t="s">
        <v>429</v>
      </c>
      <c r="C56" s="407" t="s">
        <v>430</v>
      </c>
      <c r="D56" s="407" t="s">
        <v>420</v>
      </c>
      <c r="E56" s="408">
        <v>403726</v>
      </c>
      <c r="F56" s="409" t="s">
        <v>394</v>
      </c>
      <c r="G56" s="410">
        <v>1058</v>
      </c>
      <c r="H56" s="411">
        <v>0.03</v>
      </c>
    </row>
    <row r="57" spans="1:8" s="11" customFormat="1">
      <c r="A57" s="406">
        <v>44</v>
      </c>
      <c r="B57" s="400" t="s">
        <v>431</v>
      </c>
      <c r="C57" s="407" t="s">
        <v>432</v>
      </c>
      <c r="D57" s="407" t="s">
        <v>420</v>
      </c>
      <c r="E57" s="408">
        <v>325185</v>
      </c>
      <c r="F57" s="409" t="s">
        <v>394</v>
      </c>
      <c r="G57" s="410">
        <v>963</v>
      </c>
      <c r="H57" s="411">
        <v>0.03</v>
      </c>
    </row>
    <row r="58" spans="1:8" s="11" customFormat="1">
      <c r="A58" s="406">
        <v>45</v>
      </c>
      <c r="B58" s="400" t="s">
        <v>433</v>
      </c>
      <c r="C58" s="407" t="s">
        <v>433</v>
      </c>
      <c r="D58" s="407" t="s">
        <v>420</v>
      </c>
      <c r="E58" s="408">
        <v>11514330</v>
      </c>
      <c r="F58" s="409" t="s">
        <v>394</v>
      </c>
      <c r="G58" s="410">
        <v>873</v>
      </c>
      <c r="H58" s="411">
        <v>0</v>
      </c>
    </row>
    <row r="59" spans="1:8" s="11" customFormat="1">
      <c r="A59" s="406">
        <v>46</v>
      </c>
      <c r="B59" s="400" t="s">
        <v>434</v>
      </c>
      <c r="C59" s="407" t="s">
        <v>435</v>
      </c>
      <c r="D59" s="407" t="s">
        <v>420</v>
      </c>
      <c r="E59" s="408">
        <v>889989</v>
      </c>
      <c r="F59" s="409" t="s">
        <v>394</v>
      </c>
      <c r="G59" s="410">
        <v>871</v>
      </c>
      <c r="H59" s="411">
        <v>0.03</v>
      </c>
    </row>
    <row r="60" spans="1:8" s="11" customFormat="1">
      <c r="A60" s="406">
        <v>47</v>
      </c>
      <c r="B60" s="400" t="s">
        <v>436</v>
      </c>
      <c r="C60" s="407" t="s">
        <v>437</v>
      </c>
      <c r="D60" s="407" t="s">
        <v>420</v>
      </c>
      <c r="E60" s="408">
        <v>501129</v>
      </c>
      <c r="F60" s="409" t="s">
        <v>394</v>
      </c>
      <c r="G60" s="410">
        <v>856</v>
      </c>
      <c r="H60" s="411">
        <v>0.03</v>
      </c>
    </row>
    <row r="61" spans="1:8" s="11" customFormat="1">
      <c r="A61" s="406">
        <v>48</v>
      </c>
      <c r="B61" s="400" t="s">
        <v>438</v>
      </c>
      <c r="C61" s="407" t="s">
        <v>439</v>
      </c>
      <c r="D61" s="407" t="s">
        <v>420</v>
      </c>
      <c r="E61" s="408">
        <v>591486</v>
      </c>
      <c r="F61" s="409" t="s">
        <v>394</v>
      </c>
      <c r="G61" s="410">
        <v>801</v>
      </c>
      <c r="H61" s="411">
        <v>0.03</v>
      </c>
    </row>
    <row r="62" spans="1:8" s="11" customFormat="1">
      <c r="A62" s="406">
        <v>49</v>
      </c>
      <c r="B62" s="400" t="s">
        <v>440</v>
      </c>
      <c r="C62" s="407" t="s">
        <v>441</v>
      </c>
      <c r="D62" s="407" t="s">
        <v>420</v>
      </c>
      <c r="E62" s="408">
        <v>268617</v>
      </c>
      <c r="F62" s="409" t="s">
        <v>394</v>
      </c>
      <c r="G62" s="410">
        <v>792</v>
      </c>
      <c r="H62" s="411">
        <v>0.03</v>
      </c>
    </row>
    <row r="63" spans="1:8" s="11" customFormat="1">
      <c r="A63" s="406">
        <v>50</v>
      </c>
      <c r="B63" s="400" t="s">
        <v>442</v>
      </c>
      <c r="C63" s="407" t="s">
        <v>443</v>
      </c>
      <c r="D63" s="407" t="s">
        <v>420</v>
      </c>
      <c r="E63" s="408">
        <v>508124</v>
      </c>
      <c r="F63" s="409" t="s">
        <v>394</v>
      </c>
      <c r="G63" s="410">
        <v>782</v>
      </c>
      <c r="H63" s="411">
        <v>0.03</v>
      </c>
    </row>
    <row r="64" spans="1:8" s="11" customFormat="1">
      <c r="A64" s="406">
        <v>51</v>
      </c>
      <c r="B64" s="400" t="s">
        <v>444</v>
      </c>
      <c r="C64" s="407" t="s">
        <v>445</v>
      </c>
      <c r="D64" s="407" t="s">
        <v>420</v>
      </c>
      <c r="E64" s="408">
        <v>409277</v>
      </c>
      <c r="F64" s="409" t="s">
        <v>394</v>
      </c>
      <c r="G64" s="410">
        <v>685</v>
      </c>
      <c r="H64" s="411">
        <v>0.03</v>
      </c>
    </row>
    <row r="65" spans="1:8" s="11" customFormat="1" ht="30">
      <c r="A65" s="406">
        <v>52</v>
      </c>
      <c r="B65" s="400" t="s">
        <v>446</v>
      </c>
      <c r="C65" s="407" t="s">
        <v>447</v>
      </c>
      <c r="D65" s="407" t="s">
        <v>420</v>
      </c>
      <c r="E65" s="408">
        <v>348256</v>
      </c>
      <c r="F65" s="409" t="s">
        <v>394</v>
      </c>
      <c r="G65" s="410">
        <v>683</v>
      </c>
      <c r="H65" s="405">
        <v>0.03</v>
      </c>
    </row>
    <row r="66" spans="1:8" s="11" customFormat="1">
      <c r="A66" s="406">
        <v>53</v>
      </c>
      <c r="B66" s="400" t="s">
        <v>448</v>
      </c>
      <c r="C66" s="407" t="s">
        <v>449</v>
      </c>
      <c r="D66" s="407" t="s">
        <v>420</v>
      </c>
      <c r="E66" s="408">
        <v>525062</v>
      </c>
      <c r="F66" s="409" t="s">
        <v>394</v>
      </c>
      <c r="G66" s="410">
        <v>676</v>
      </c>
      <c r="H66" s="411">
        <v>0.03</v>
      </c>
    </row>
    <row r="67" spans="1:8" s="11" customFormat="1">
      <c r="A67" s="406">
        <v>54</v>
      </c>
      <c r="B67" s="400" t="s">
        <v>450</v>
      </c>
      <c r="C67" s="407" t="s">
        <v>451</v>
      </c>
      <c r="D67" s="407" t="s">
        <v>420</v>
      </c>
      <c r="E67" s="408">
        <v>280457</v>
      </c>
      <c r="F67" s="409" t="s">
        <v>394</v>
      </c>
      <c r="G67" s="410">
        <v>637</v>
      </c>
      <c r="H67" s="411">
        <v>0.03</v>
      </c>
    </row>
    <row r="68" spans="1:8" s="11" customFormat="1">
      <c r="A68" s="406">
        <v>55</v>
      </c>
      <c r="B68" s="400" t="s">
        <v>452</v>
      </c>
      <c r="C68" s="407" t="s">
        <v>453</v>
      </c>
      <c r="D68" s="407" t="s">
        <v>454</v>
      </c>
      <c r="E68" s="408">
        <v>307664</v>
      </c>
      <c r="F68" s="409" t="s">
        <v>394</v>
      </c>
      <c r="G68" s="410">
        <v>2392</v>
      </c>
      <c r="H68" s="412">
        <v>0.1</v>
      </c>
    </row>
    <row r="69" spans="1:8" s="62" customFormat="1" ht="30">
      <c r="A69" s="406">
        <v>56</v>
      </c>
      <c r="B69" s="400" t="s">
        <v>455</v>
      </c>
      <c r="C69" s="413" t="s">
        <v>456</v>
      </c>
      <c r="D69" s="413" t="s">
        <v>454</v>
      </c>
      <c r="E69" s="414">
        <v>431491</v>
      </c>
      <c r="F69" s="415" t="s">
        <v>457</v>
      </c>
      <c r="G69" s="416">
        <v>2145</v>
      </c>
      <c r="H69" s="417">
        <v>0.1</v>
      </c>
    </row>
    <row r="70" spans="1:8" s="11" customFormat="1">
      <c r="A70" s="406">
        <v>57</v>
      </c>
      <c r="B70" s="400" t="s">
        <v>458</v>
      </c>
      <c r="C70" s="407" t="s">
        <v>459</v>
      </c>
      <c r="D70" s="407" t="s">
        <v>454</v>
      </c>
      <c r="E70" s="408">
        <v>263540</v>
      </c>
      <c r="F70" s="409" t="s">
        <v>394</v>
      </c>
      <c r="G70" s="410">
        <v>1689</v>
      </c>
      <c r="H70" s="411">
        <v>0.05</v>
      </c>
    </row>
    <row r="71" spans="1:8" s="11" customFormat="1">
      <c r="A71" s="406">
        <v>58</v>
      </c>
      <c r="B71" s="400" t="s">
        <v>460</v>
      </c>
      <c r="C71" s="407" t="s">
        <v>461</v>
      </c>
      <c r="D71" s="407" t="s">
        <v>454</v>
      </c>
      <c r="E71" s="408">
        <v>203281</v>
      </c>
      <c r="F71" s="409" t="s">
        <v>394</v>
      </c>
      <c r="G71" s="410">
        <v>1618</v>
      </c>
      <c r="H71" s="411">
        <v>0.05</v>
      </c>
    </row>
    <row r="72" spans="1:8" s="11" customFormat="1" ht="30">
      <c r="A72" s="406">
        <v>59</v>
      </c>
      <c r="B72" s="400" t="s">
        <v>462</v>
      </c>
      <c r="C72" s="407" t="s">
        <v>463</v>
      </c>
      <c r="D72" s="407" t="s">
        <v>454</v>
      </c>
      <c r="E72" s="408">
        <v>348716</v>
      </c>
      <c r="F72" s="409" t="s">
        <v>394</v>
      </c>
      <c r="G72" s="410">
        <v>1589</v>
      </c>
      <c r="H72" s="405">
        <v>0.05</v>
      </c>
    </row>
    <row r="73" spans="1:8" s="11" customFormat="1">
      <c r="A73" s="406">
        <v>60</v>
      </c>
      <c r="B73" s="400" t="s">
        <v>464</v>
      </c>
      <c r="C73" s="407" t="s">
        <v>464</v>
      </c>
      <c r="D73" s="407" t="s">
        <v>454</v>
      </c>
      <c r="E73" s="408">
        <v>4848742</v>
      </c>
      <c r="F73" s="409" t="s">
        <v>394</v>
      </c>
      <c r="G73" s="410">
        <v>1576</v>
      </c>
      <c r="H73" s="411">
        <v>0.05</v>
      </c>
    </row>
    <row r="74" spans="1:8" s="11" customFormat="1">
      <c r="A74" s="406">
        <v>61</v>
      </c>
      <c r="B74" s="400" t="s">
        <v>465</v>
      </c>
      <c r="C74" s="407" t="s">
        <v>466</v>
      </c>
      <c r="D74" s="407" t="s">
        <v>454</v>
      </c>
      <c r="E74" s="408">
        <v>218724</v>
      </c>
      <c r="F74" s="409" t="s">
        <v>394</v>
      </c>
      <c r="G74" s="410">
        <v>1452</v>
      </c>
      <c r="H74" s="411">
        <v>0.05</v>
      </c>
    </row>
    <row r="75" spans="1:8" s="62" customFormat="1">
      <c r="A75" s="406">
        <v>62</v>
      </c>
      <c r="B75" s="400" t="s">
        <v>467</v>
      </c>
      <c r="C75" s="413" t="s">
        <v>468</v>
      </c>
      <c r="D75" s="413" t="s">
        <v>454</v>
      </c>
      <c r="E75" s="414">
        <v>235006</v>
      </c>
      <c r="F75" s="415" t="s">
        <v>394</v>
      </c>
      <c r="G75" s="416">
        <v>1008</v>
      </c>
      <c r="H75" s="418">
        <v>0.1</v>
      </c>
    </row>
    <row r="76" spans="1:8" s="62" customFormat="1">
      <c r="A76" s="406">
        <v>63</v>
      </c>
      <c r="B76" s="400" t="s">
        <v>469</v>
      </c>
      <c r="C76" s="413" t="s">
        <v>470</v>
      </c>
      <c r="D76" s="413" t="s">
        <v>454</v>
      </c>
      <c r="E76" s="414">
        <v>301642</v>
      </c>
      <c r="F76" s="415" t="s">
        <v>394</v>
      </c>
      <c r="G76" s="416">
        <v>994</v>
      </c>
      <c r="H76" s="418">
        <v>0.05</v>
      </c>
    </row>
    <row r="77" spans="1:8" s="11" customFormat="1">
      <c r="A77" s="406">
        <v>64</v>
      </c>
      <c r="B77" s="400" t="s">
        <v>471</v>
      </c>
      <c r="C77" s="407" t="s">
        <v>472</v>
      </c>
      <c r="D77" s="407" t="s">
        <v>473</v>
      </c>
      <c r="E77" s="408">
        <v>577990</v>
      </c>
      <c r="F77" s="409" t="s">
        <v>394</v>
      </c>
      <c r="G77" s="410">
        <v>1649</v>
      </c>
      <c r="H77" s="411">
        <v>0.05</v>
      </c>
    </row>
    <row r="78" spans="1:8" s="11" customFormat="1" ht="30">
      <c r="A78" s="406">
        <v>65</v>
      </c>
      <c r="B78" s="400" t="s">
        <v>474</v>
      </c>
      <c r="C78" s="407" t="s">
        <v>475</v>
      </c>
      <c r="D78" s="407" t="s">
        <v>473</v>
      </c>
      <c r="E78" s="408">
        <v>311635</v>
      </c>
      <c r="F78" s="409" t="s">
        <v>394</v>
      </c>
      <c r="G78" s="410">
        <v>1631</v>
      </c>
      <c r="H78" s="405">
        <v>0.05</v>
      </c>
    </row>
    <row r="79" spans="1:8" s="11" customFormat="1">
      <c r="A79" s="406">
        <v>66</v>
      </c>
      <c r="B79" s="400" t="s">
        <v>476</v>
      </c>
      <c r="C79" s="407" t="s">
        <v>477</v>
      </c>
      <c r="D79" s="407" t="s">
        <v>473</v>
      </c>
      <c r="E79" s="408">
        <v>271596</v>
      </c>
      <c r="F79" s="409" t="s">
        <v>394</v>
      </c>
      <c r="G79" s="410">
        <v>1629</v>
      </c>
      <c r="H79" s="411">
        <v>0.05</v>
      </c>
    </row>
    <row r="80" spans="1:8" s="11" customFormat="1">
      <c r="A80" s="406">
        <v>67</v>
      </c>
      <c r="B80" s="400" t="s">
        <v>478</v>
      </c>
      <c r="C80" s="407" t="s">
        <v>479</v>
      </c>
      <c r="D80" s="407" t="s">
        <v>473</v>
      </c>
      <c r="E80" s="408">
        <v>240095</v>
      </c>
      <c r="F80" s="409" t="s">
        <v>394</v>
      </c>
      <c r="G80" s="410">
        <v>1512</v>
      </c>
      <c r="H80" s="411">
        <v>0.05</v>
      </c>
    </row>
    <row r="81" spans="1:8" s="11" customFormat="1">
      <c r="A81" s="406">
        <v>68</v>
      </c>
      <c r="B81" s="400" t="s">
        <v>480</v>
      </c>
      <c r="C81" s="407" t="s">
        <v>480</v>
      </c>
      <c r="D81" s="407" t="s">
        <v>473</v>
      </c>
      <c r="E81" s="408">
        <v>398266</v>
      </c>
      <c r="F81" s="409" t="s">
        <v>394</v>
      </c>
      <c r="G81" s="410">
        <v>1371</v>
      </c>
      <c r="H81" s="411">
        <v>0.05</v>
      </c>
    </row>
    <row r="82" spans="1:8" s="11" customFormat="1">
      <c r="A82" s="406">
        <v>69</v>
      </c>
      <c r="B82" s="400" t="s">
        <v>481</v>
      </c>
      <c r="C82" s="407" t="s">
        <v>482</v>
      </c>
      <c r="D82" s="407" t="s">
        <v>483</v>
      </c>
      <c r="E82" s="408">
        <v>744933</v>
      </c>
      <c r="F82" s="409" t="s">
        <v>394</v>
      </c>
      <c r="G82" s="410">
        <v>1558</v>
      </c>
      <c r="H82" s="411">
        <v>0.05</v>
      </c>
    </row>
    <row r="83" spans="1:8" s="11" customFormat="1">
      <c r="A83" s="406">
        <v>70</v>
      </c>
      <c r="B83" s="400" t="s">
        <v>484</v>
      </c>
      <c r="C83" s="407" t="s">
        <v>485</v>
      </c>
      <c r="D83" s="407" t="s">
        <v>483</v>
      </c>
      <c r="E83" s="408">
        <v>1089851</v>
      </c>
      <c r="F83" s="409" t="s">
        <v>394</v>
      </c>
      <c r="G83" s="410">
        <v>1285</v>
      </c>
      <c r="H83" s="411">
        <v>0.05</v>
      </c>
    </row>
    <row r="84" spans="1:8" s="11" customFormat="1">
      <c r="A84" s="406">
        <v>71</v>
      </c>
      <c r="B84" s="400" t="s">
        <v>486</v>
      </c>
      <c r="C84" s="407" t="s">
        <v>487</v>
      </c>
      <c r="D84" s="407" t="s">
        <v>483</v>
      </c>
      <c r="E84" s="408">
        <v>520662</v>
      </c>
      <c r="F84" s="409" t="s">
        <v>394</v>
      </c>
      <c r="G84" s="410">
        <v>1243</v>
      </c>
      <c r="H84" s="411">
        <v>0.05</v>
      </c>
    </row>
    <row r="85" spans="1:8" s="11" customFormat="1">
      <c r="A85" s="440">
        <v>72</v>
      </c>
      <c r="B85" s="441" t="s">
        <v>499</v>
      </c>
      <c r="C85" s="442" t="s">
        <v>500</v>
      </c>
      <c r="D85" s="407" t="s">
        <v>483</v>
      </c>
      <c r="E85" s="443"/>
      <c r="F85" s="444"/>
      <c r="G85" s="445"/>
      <c r="H85" s="446">
        <v>0.05</v>
      </c>
    </row>
    <row r="86" spans="1:8" s="11" customFormat="1" ht="30">
      <c r="A86" s="406">
        <v>73</v>
      </c>
      <c r="B86" s="400" t="s">
        <v>488</v>
      </c>
      <c r="C86" s="407" t="s">
        <v>489</v>
      </c>
      <c r="D86" s="407" t="s">
        <v>483</v>
      </c>
      <c r="E86" s="408">
        <v>1021244</v>
      </c>
      <c r="F86" s="409" t="s">
        <v>394</v>
      </c>
      <c r="G86" s="410">
        <v>806</v>
      </c>
      <c r="H86" s="405">
        <v>0.03</v>
      </c>
    </row>
    <row r="87" spans="1:8" s="11" customFormat="1">
      <c r="A87" s="406">
        <v>74</v>
      </c>
      <c r="B87" s="419" t="s">
        <v>490</v>
      </c>
      <c r="C87" s="407" t="s">
        <v>491</v>
      </c>
      <c r="D87" s="407"/>
      <c r="E87" s="408">
        <v>393500</v>
      </c>
      <c r="F87" s="409" t="s">
        <v>394</v>
      </c>
      <c r="G87" s="410">
        <v>1992</v>
      </c>
      <c r="H87" s="412">
        <v>0.1</v>
      </c>
    </row>
    <row r="88" spans="1:8" s="11" customFormat="1" ht="44.25" customHeight="1">
      <c r="A88" s="2536"/>
      <c r="B88" s="2536"/>
      <c r="C88" s="2536"/>
      <c r="D88" s="2536"/>
      <c r="E88" s="2536"/>
      <c r="F88" s="2536"/>
      <c r="G88" s="420"/>
      <c r="H88" s="421"/>
    </row>
    <row r="89" spans="1:8" s="421" customFormat="1">
      <c r="A89" s="2536"/>
      <c r="B89" s="2536"/>
      <c r="C89" s="2536"/>
      <c r="D89" s="2536"/>
      <c r="E89" s="2536"/>
      <c r="F89" s="2536"/>
      <c r="G89" s="420"/>
    </row>
  </sheetData>
  <autoFilter ref="A13:H87"/>
  <mergeCells count="2">
    <mergeCell ref="A88:F88"/>
    <mergeCell ref="A89:F89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50" max="16383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4">
    <tabColor rgb="FF92D050"/>
  </sheetPr>
  <dimension ref="A1:AR41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T26" sqref="T26"/>
    </sheetView>
  </sheetViews>
  <sheetFormatPr defaultColWidth="8.85546875" defaultRowHeight="15"/>
  <cols>
    <col min="1" max="1" width="5.7109375" style="120" customWidth="1"/>
    <col min="2" max="2" width="11.7109375" style="120" customWidth="1"/>
    <col min="3" max="3" width="11.7109375" style="471" customWidth="1"/>
    <col min="4" max="5" width="11.7109375" style="120" customWidth="1"/>
    <col min="6" max="6" width="11.7109375" style="2" customWidth="1"/>
    <col min="7" max="10" width="18.7109375" style="120" customWidth="1"/>
    <col min="11" max="14" width="18.7109375" style="471" customWidth="1"/>
    <col min="15" max="15" width="20.85546875" style="120" customWidth="1"/>
    <col min="16" max="17" width="8.85546875" style="120" customWidth="1"/>
    <col min="18" max="16384" width="8.85546875" style="120"/>
  </cols>
  <sheetData>
    <row r="1" spans="1:44" s="1024" customFormat="1" ht="18" customHeight="1">
      <c r="B1" s="1028" t="s">
        <v>307</v>
      </c>
      <c r="C1" s="1028"/>
      <c r="D1" s="1029"/>
      <c r="E1" s="1029"/>
      <c r="F1" s="1030"/>
      <c r="G1" s="1029"/>
      <c r="H1" s="1029"/>
      <c r="I1" s="1029"/>
      <c r="J1" s="1029"/>
      <c r="K1" s="1029"/>
      <c r="L1" s="102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</row>
    <row r="2" spans="1:44">
      <c r="A2" s="5"/>
      <c r="B2" s="121"/>
      <c r="C2" s="687"/>
      <c r="D2" s="121"/>
      <c r="E2" s="121"/>
      <c r="F2" s="423"/>
      <c r="G2" s="13"/>
      <c r="H2" s="13"/>
      <c r="I2" s="13"/>
      <c r="J2" s="13"/>
      <c r="K2" s="13"/>
      <c r="L2" s="13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</row>
    <row r="3" spans="1:44" ht="90" customHeight="1">
      <c r="A3" s="7"/>
      <c r="B3" s="752"/>
      <c r="C3" s="752"/>
      <c r="D3" s="752"/>
      <c r="E3" s="752"/>
      <c r="F3" s="8"/>
      <c r="G3" s="357"/>
      <c r="H3" s="357"/>
      <c r="I3" s="357"/>
      <c r="J3" s="357"/>
      <c r="K3" s="357"/>
      <c r="L3" s="357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</row>
    <row r="4" spans="1:44">
      <c r="A4" s="121"/>
      <c r="B4" s="17" t="s">
        <v>54</v>
      </c>
      <c r="C4" s="17"/>
      <c r="D4" s="121"/>
      <c r="E4" s="121"/>
      <c r="F4" s="6"/>
      <c r="G4" s="3"/>
      <c r="H4" s="121"/>
      <c r="I4" s="121"/>
      <c r="J4" s="121"/>
      <c r="K4" s="2203"/>
      <c r="L4" s="1067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</row>
    <row r="5" spans="1:44" ht="15" customHeight="1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50</v>
      </c>
      <c r="G5" s="1110" t="s">
        <v>710</v>
      </c>
      <c r="H5" s="1111" t="s">
        <v>711</v>
      </c>
      <c r="I5" s="1111" t="s">
        <v>712</v>
      </c>
      <c r="J5" s="2204" t="s">
        <v>713</v>
      </c>
      <c r="K5" s="2202" t="s">
        <v>2051</v>
      </c>
      <c r="L5" s="2202" t="s">
        <v>229</v>
      </c>
      <c r="M5" s="2202" t="s">
        <v>857</v>
      </c>
      <c r="N5" s="2202" t="s">
        <v>2052</v>
      </c>
      <c r="O5" s="2210" t="s">
        <v>2053</v>
      </c>
      <c r="P5" s="211"/>
      <c r="Q5" s="211"/>
      <c r="R5" s="211"/>
      <c r="S5" s="211"/>
      <c r="T5" s="1204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</row>
    <row r="6" spans="1:44" ht="15" customHeight="1">
      <c r="A6" s="2946"/>
      <c r="B6" s="2947"/>
      <c r="C6" s="2948"/>
      <c r="D6" s="2989"/>
      <c r="E6" s="2989"/>
      <c r="F6" s="2989"/>
      <c r="G6" s="2985" t="s">
        <v>51</v>
      </c>
      <c r="H6" s="2986"/>
      <c r="I6" s="2986"/>
      <c r="J6" s="2986"/>
      <c r="K6" s="2987"/>
      <c r="L6" s="719" t="s">
        <v>258</v>
      </c>
      <c r="M6" s="2985" t="s">
        <v>947</v>
      </c>
      <c r="N6" s="2986"/>
      <c r="O6" s="2987"/>
      <c r="P6" s="211"/>
      <c r="Q6" s="211"/>
      <c r="R6" s="473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</row>
    <row r="7" spans="1:44" s="121" customFormat="1" ht="24" customHeight="1">
      <c r="A7" s="2877" t="s">
        <v>1952</v>
      </c>
      <c r="B7" s="2877"/>
      <c r="C7" s="2877"/>
      <c r="D7" s="2019" t="s">
        <v>1953</v>
      </c>
      <c r="E7" s="2014" t="s">
        <v>31</v>
      </c>
      <c r="F7" s="116" t="s">
        <v>0</v>
      </c>
      <c r="G7" s="787">
        <f>'Полотна база'!L9*(1+скидки_наценки!$B$30)*скидки_наценки!$D$13*скидки_наценки!$F$13/скидки_наценки!$B$4</f>
        <v>24300</v>
      </c>
      <c r="H7" s="787">
        <f>'Полотна база'!M9*(1+скидки_наценки!$B$30)*скидки_наценки!$D$13*скидки_наценки!$F$13/скидки_наценки!$B$4</f>
        <v>24300</v>
      </c>
      <c r="I7" s="787">
        <f>'Полотна база'!L9*(1+скидки_наценки!$B$30)*скидки_наценки!$D$13*скидки_наценки!$F$13/скидки_наценки!$B$4</f>
        <v>24300</v>
      </c>
      <c r="J7" s="2206">
        <f>'Полотна база'!M9*(1+скидки_наценки!$B$30)*скидки_наценки!$D$13*скидки_наценки!$F$13/скидки_наценки!$B$4</f>
        <v>24300</v>
      </c>
      <c r="K7" s="2208">
        <f>'Полотна база'!M9*(1+скидки_наценки!$B$30)*скидки_наценки!$D$13*скидки_наценки!$F$13/скидки_наценки!$B$4</f>
        <v>24300</v>
      </c>
      <c r="L7" s="2208">
        <f>'Полотна база'!L9*(1+скидки_наценки!$B$30)*скидки_наценки!$D$13*скидки_наценки!$F$13/скидки_наценки!$B$4</f>
        <v>24300</v>
      </c>
      <c r="M7" s="2208">
        <f>'Полотна база'!N9*(1+скидки_наценки!$B$28)*скидки_наценки!$D$11*скидки_наценки!$F$11/скидки_наценки!$B$4</f>
        <v>44550</v>
      </c>
      <c r="N7" s="2208">
        <f>M7</f>
        <v>44550</v>
      </c>
      <c r="O7" s="2212">
        <f>N7</f>
        <v>44550</v>
      </c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  <c r="AO7" s="359"/>
      <c r="AP7" s="359"/>
      <c r="AQ7" s="359"/>
      <c r="AR7" s="359"/>
    </row>
    <row r="8" spans="1:44" s="9" customFormat="1" ht="24" customHeight="1">
      <c r="A8" s="2964" t="s">
        <v>25</v>
      </c>
      <c r="B8" s="2965" t="s">
        <v>1281</v>
      </c>
      <c r="C8" s="2966"/>
      <c r="D8" s="2045" t="s">
        <v>1953</v>
      </c>
      <c r="E8" s="2015" t="s">
        <v>31</v>
      </c>
      <c r="F8" s="45" t="s">
        <v>0</v>
      </c>
      <c r="G8" s="543">
        <f>'Полотна база'!L10*(1+скидки_наценки!$B$29)*скидки_наценки!$D$13*скидки_наценки!$F$13/скидки_наценки!$B$4</f>
        <v>26600</v>
      </c>
      <c r="H8" s="543">
        <f>'Полотна база'!M10*(1+скидки_наценки!$B$29)*скидки_наценки!$D$13*скидки_наценки!$F$13/скидки_наценки!$B$4</f>
        <v>26600</v>
      </c>
      <c r="I8" s="543">
        <f>'Полотна база'!L10*(1+скидки_наценки!$B$29)*скидки_наценки!$D$13*скидки_наценки!$F$13/скидки_наценки!$B$4</f>
        <v>26600</v>
      </c>
      <c r="J8" s="2207">
        <f>'Полотна база'!M10*(1+скидки_наценки!$B$29)*скидки_наценки!$D$13*скидки_наценки!$F$13/скидки_наценки!$B$4</f>
        <v>26600</v>
      </c>
      <c r="K8" s="2209">
        <f>'Полотна база'!M10*(1+скидки_наценки!$B$29)*скидки_наценки!$D$13*скидки_наценки!$F$13/скидки_наценки!$B$4</f>
        <v>26600</v>
      </c>
      <c r="L8" s="2209">
        <f>'Полотна база'!L10*(1+скидки_наценки!$B$29)*скидки_наценки!$D$13*скидки_наценки!$F$13/скидки_наценки!$B$4</f>
        <v>26600</v>
      </c>
      <c r="M8" s="2209">
        <f>'Полотна база'!N10*(1+скидки_наценки!$B$28)*скидки_наценки!$D$11*скидки_наценки!$F$11/скидки_наценки!$B$4</f>
        <v>44550</v>
      </c>
      <c r="N8" s="2209">
        <f>N7</f>
        <v>44550</v>
      </c>
      <c r="O8" s="2211">
        <f>O7</f>
        <v>44550</v>
      </c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  <c r="AQ8" s="359"/>
      <c r="AR8" s="359"/>
    </row>
    <row r="9" spans="1:44" s="9" customFormat="1" ht="24" customHeight="1">
      <c r="A9" s="2964"/>
      <c r="B9" s="2967" t="s">
        <v>1288</v>
      </c>
      <c r="C9" s="2968"/>
      <c r="D9" s="2019" t="s">
        <v>1953</v>
      </c>
      <c r="E9" s="2012" t="s">
        <v>31</v>
      </c>
      <c r="F9" s="116" t="s">
        <v>0</v>
      </c>
      <c r="G9" s="787">
        <f>'Полотна база'!L11*(1+скидки_наценки!$B$29)*скидки_наценки!$D$13*скидки_наценки!$F$13/скидки_наценки!$B$4</f>
        <v>28600</v>
      </c>
      <c r="H9" s="787">
        <f>'Полотна база'!M11*(1+скидки_наценки!$B$29)*скидки_наценки!$D$13*скидки_наценки!$F$13/скидки_наценки!$B$4</f>
        <v>28600</v>
      </c>
      <c r="I9" s="787">
        <f>'Полотна база'!L11*(1+скидки_наценки!$B$29)*скидки_наценки!$D$13*скидки_наценки!$F$13/скидки_наценки!$B$4</f>
        <v>28600</v>
      </c>
      <c r="J9" s="2206">
        <f>'Полотна база'!M11*(1+скидки_наценки!$B$29)*скидки_наценки!$D$13*скидки_наценки!$F$13/скидки_наценки!$B$4</f>
        <v>28600</v>
      </c>
      <c r="K9" s="2208">
        <f>'Полотна база'!M11*(1+скидки_наценки!$B$29)*скидки_наценки!$D$13*скидки_наценки!$F$13/скидки_наценки!$B$4</f>
        <v>28600</v>
      </c>
      <c r="L9" s="2208">
        <f>'Полотна база'!L11*(1+скидки_наценки!$B$29)*скидки_наценки!$D$13*скидки_наценки!$F$13/скидки_наценки!$B$4</f>
        <v>28600</v>
      </c>
      <c r="M9" s="2208">
        <f>'Полотна база'!N11*(1+скидки_наценки!$B$28)*скидки_наценки!$D$11*скидки_наценки!$F$11/скидки_наценки!$B$4</f>
        <v>44550</v>
      </c>
      <c r="N9" s="2208">
        <f>N7</f>
        <v>44550</v>
      </c>
      <c r="O9" s="2212">
        <f>O7</f>
        <v>44550</v>
      </c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  <c r="AQ9" s="359"/>
      <c r="AR9" s="359"/>
    </row>
    <row r="10" spans="1:44" s="9" customFormat="1" ht="24" customHeight="1">
      <c r="A10" s="2885"/>
      <c r="B10" s="2965" t="s">
        <v>1806</v>
      </c>
      <c r="C10" s="2966"/>
      <c r="D10" s="2045" t="s">
        <v>1953</v>
      </c>
      <c r="E10" s="2013" t="s">
        <v>31</v>
      </c>
      <c r="F10" s="162" t="s">
        <v>0</v>
      </c>
      <c r="G10" s="543">
        <f>'Полотна база'!L12*(1+скидки_наценки!$B$29)*скидки_наценки!$D$13*скидки_наценки!$F$13/скидки_наценки!$B$4</f>
        <v>29890</v>
      </c>
      <c r="H10" s="543">
        <f>'Полотна база'!M12*(1+скидки_наценки!$B$29)*скидки_наценки!$D$13*скидки_наценки!$F$13/скидки_наценки!$B$4</f>
        <v>29890</v>
      </c>
      <c r="I10" s="543">
        <f>'Полотна база'!L12*(1+скидки_наценки!$B$29)*скидки_наценки!$D$13*скидки_наценки!$F$13/скидки_наценки!$B$4</f>
        <v>29890</v>
      </c>
      <c r="J10" s="2207">
        <f>'Полотна база'!M12*(1+скидки_наценки!$B$29)*скидки_наценки!$D$13*скидки_наценки!$F$13/скидки_наценки!$B$4</f>
        <v>29890</v>
      </c>
      <c r="K10" s="2209">
        <f>'Полотна база'!M12*(1+скидки_наценки!$B$29)*скидки_наценки!$D$13*скидки_наценки!$F$13/скидки_наценки!$B$4</f>
        <v>29890</v>
      </c>
      <c r="L10" s="2209">
        <f>'Полотна база'!L12*(1+скидки_наценки!$B$29)*скидки_наценки!$D$13*скидки_наценки!$F$13/скидки_наценки!$B$4</f>
        <v>29890</v>
      </c>
      <c r="M10" s="2209">
        <f>'Полотна база'!N12*(1+скидки_наценки!$B$28)*скидки_наценки!$D$11*скидки_наценки!$F$11/скидки_наценки!$B$4</f>
        <v>44550</v>
      </c>
      <c r="N10" s="2209">
        <f>N7</f>
        <v>44550</v>
      </c>
      <c r="O10" s="2211">
        <f>O7</f>
        <v>44550</v>
      </c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  <c r="AQ10" s="359"/>
      <c r="AR10" s="359"/>
    </row>
    <row r="11" spans="1:44" s="9" customFormat="1" ht="24" customHeight="1">
      <c r="A11" s="2964"/>
      <c r="B11" s="2967" t="s">
        <v>1293</v>
      </c>
      <c r="C11" s="2968"/>
      <c r="D11" s="2019" t="s">
        <v>1953</v>
      </c>
      <c r="E11" s="2012" t="s">
        <v>31</v>
      </c>
      <c r="F11" s="116" t="s">
        <v>0</v>
      </c>
      <c r="G11" s="787">
        <f>'Полотна база'!L13*(1+скидки_наценки!$B$29)*скидки_наценки!$D$13*скидки_наценки!$F$13/скидки_наценки!$B$4</f>
        <v>31180</v>
      </c>
      <c r="H11" s="787">
        <f>'Полотна база'!M13*(1+скидки_наценки!$B$29)*скидки_наценки!$D$13*скидки_наценки!$F$13/скидки_наценки!$B$4</f>
        <v>31180</v>
      </c>
      <c r="I11" s="787">
        <f>'Полотна база'!L13*(1+скидки_наценки!$B$29)*скидки_наценки!$D$13*скидки_наценки!$F$13/скидки_наценки!$B$4</f>
        <v>31180</v>
      </c>
      <c r="J11" s="2206">
        <f>'Полотна база'!M13*(1+скидки_наценки!$B$29)*скидки_наценки!$D$13*скидки_наценки!$F$13/скидки_наценки!$B$4</f>
        <v>31180</v>
      </c>
      <c r="K11" s="2208">
        <f>'Полотна база'!M13*(1+скидки_наценки!$B$29)*скидки_наценки!$D$13*скидки_наценки!$F$13/скидки_наценки!$B$4</f>
        <v>31180</v>
      </c>
      <c r="L11" s="2208">
        <f>'Полотна база'!L13*(1+скидки_наценки!$B$29)*скидки_наценки!$D$13*скидки_наценки!$F$13/скидки_наценки!$B$4</f>
        <v>31180</v>
      </c>
      <c r="M11" s="2208">
        <f>'Полотна база'!N13*(1+скидки_наценки!$B$28)*скидки_наценки!$D$11*скидки_наценки!$F$11/скидки_наценки!$B$4</f>
        <v>44550</v>
      </c>
      <c r="N11" s="2208">
        <f>N7</f>
        <v>44550</v>
      </c>
      <c r="O11" s="2212">
        <f>O7</f>
        <v>44550</v>
      </c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  <c r="AN11" s="359"/>
      <c r="AO11" s="359"/>
      <c r="AP11" s="359"/>
      <c r="AQ11" s="359"/>
      <c r="AR11" s="359"/>
    </row>
    <row r="12" spans="1:44" s="471" customFormat="1">
      <c r="B12" s="809"/>
      <c r="C12" s="688"/>
      <c r="D12" s="688"/>
      <c r="E12" s="688"/>
      <c r="F12" s="688"/>
      <c r="G12" s="688"/>
      <c r="H12" s="688"/>
      <c r="I12" s="688"/>
      <c r="J12" s="688"/>
      <c r="K12" s="688"/>
      <c r="L12" s="688"/>
      <c r="M12" s="688"/>
      <c r="N12" s="688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</row>
    <row r="13" spans="1:44" s="471" customFormat="1"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  <c r="N13" s="688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</row>
    <row r="14" spans="1:44" s="11" customFormat="1" ht="18.75" customHeight="1">
      <c r="B14" s="53" t="s">
        <v>19</v>
      </c>
      <c r="C14" s="53"/>
      <c r="G14" s="55"/>
      <c r="H14" s="55"/>
      <c r="I14" s="55"/>
      <c r="J14" s="55"/>
      <c r="K14" s="712"/>
      <c r="L14" s="712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</row>
    <row r="15" spans="1:44" s="11" customFormat="1" ht="18.75" customHeight="1">
      <c r="A15" s="2973" t="s">
        <v>2</v>
      </c>
      <c r="B15" s="2974"/>
      <c r="C15" s="2974"/>
      <c r="D15" s="2974"/>
      <c r="E15" s="2974"/>
      <c r="F15" s="2975"/>
      <c r="G15" s="1112" t="str">
        <f t="shared" ref="G15:M15" si="0">G5</f>
        <v xml:space="preserve">Vetro11 </v>
      </c>
      <c r="H15" s="1112" t="str">
        <f t="shared" si="0"/>
        <v xml:space="preserve">Vetro12 </v>
      </c>
      <c r="I15" s="1112" t="str">
        <f t="shared" si="0"/>
        <v xml:space="preserve">Vetro13 </v>
      </c>
      <c r="J15" s="1112" t="str">
        <f t="shared" si="0"/>
        <v xml:space="preserve">Vetro14 </v>
      </c>
      <c r="K15" s="2201" t="str">
        <f>K5</f>
        <v xml:space="preserve">Vetro19 </v>
      </c>
      <c r="L15" s="1112" t="str">
        <f t="shared" si="0"/>
        <v>Vetro17</v>
      </c>
      <c r="M15" s="2213" t="str">
        <f t="shared" si="0"/>
        <v>Vetro18</v>
      </c>
      <c r="N15" s="2202" t="s">
        <v>2052</v>
      </c>
      <c r="O15" s="2210" t="s">
        <v>2053</v>
      </c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</row>
    <row r="16" spans="1:44" s="471" customFormat="1" ht="18.75" customHeight="1">
      <c r="A16" s="2976"/>
      <c r="B16" s="2977"/>
      <c r="C16" s="2977"/>
      <c r="D16" s="2977"/>
      <c r="E16" s="2977"/>
      <c r="F16" s="2978"/>
      <c r="G16" s="2985" t="s">
        <v>51</v>
      </c>
      <c r="H16" s="2986"/>
      <c r="I16" s="2986"/>
      <c r="J16" s="2986"/>
      <c r="K16" s="2987"/>
      <c r="L16" s="1161" t="s">
        <v>258</v>
      </c>
      <c r="M16" s="2199" t="s">
        <v>947</v>
      </c>
      <c r="N16" s="2985">
        <f>N6</f>
        <v>0</v>
      </c>
      <c r="O16" s="2987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</row>
    <row r="17" spans="1:44" s="56" customFormat="1" ht="18.75" customHeight="1">
      <c r="A17" s="2971" t="s">
        <v>47</v>
      </c>
      <c r="B17" s="2972"/>
      <c r="C17" s="2972"/>
      <c r="D17" s="2972"/>
      <c r="E17" s="2972"/>
      <c r="F17" s="2972"/>
      <c r="G17" s="2972"/>
      <c r="H17" s="2972"/>
      <c r="I17" s="2972"/>
      <c r="J17" s="2972"/>
      <c r="K17" s="2972"/>
      <c r="L17" s="2972"/>
      <c r="M17" s="2972"/>
      <c r="N17" s="2222"/>
      <c r="O17" s="2226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</row>
    <row r="18" spans="1:44" s="56" customFormat="1" ht="24.75" customHeight="1">
      <c r="A18" s="2904" t="s">
        <v>57</v>
      </c>
      <c r="B18" s="2906"/>
      <c r="C18" s="2949" t="s">
        <v>30</v>
      </c>
      <c r="D18" s="2950"/>
      <c r="E18" s="2962" t="s">
        <v>1191</v>
      </c>
      <c r="F18" s="2963"/>
      <c r="G18" s="1178" t="s">
        <v>3</v>
      </c>
      <c r="H18" s="1178" t="s">
        <v>3</v>
      </c>
      <c r="I18" s="1178" t="s">
        <v>3</v>
      </c>
      <c r="J18" s="1178" t="s">
        <v>3</v>
      </c>
      <c r="K18" s="2205"/>
      <c r="L18" s="1178" t="s">
        <v>1192</v>
      </c>
      <c r="M18" s="2214" t="s">
        <v>3</v>
      </c>
      <c r="N18" s="2223"/>
      <c r="O18" s="720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</row>
    <row r="19" spans="1:44" s="57" customFormat="1" ht="30" customHeight="1">
      <c r="A19" s="2907"/>
      <c r="B19" s="2909"/>
      <c r="C19" s="2954" t="s">
        <v>1160</v>
      </c>
      <c r="D19" s="2955"/>
      <c r="E19" s="2951" t="s">
        <v>883</v>
      </c>
      <c r="F19" s="2951"/>
      <c r="G19" s="1105" t="s">
        <v>1192</v>
      </c>
      <c r="H19" s="1105" t="s">
        <v>1192</v>
      </c>
      <c r="I19" s="1105" t="s">
        <v>1192</v>
      </c>
      <c r="J19" s="1105" t="s">
        <v>1192</v>
      </c>
      <c r="K19" s="1105"/>
      <c r="L19" s="1105" t="s">
        <v>3</v>
      </c>
      <c r="M19" s="2215" t="s">
        <v>1192</v>
      </c>
      <c r="N19" s="2215" t="s">
        <v>1192</v>
      </c>
      <c r="O19" s="2215" t="s">
        <v>1192</v>
      </c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</row>
    <row r="20" spans="1:44" s="57" customFormat="1" ht="30" customHeight="1">
      <c r="A20" s="2907"/>
      <c r="B20" s="2909"/>
      <c r="C20" s="2956"/>
      <c r="D20" s="2957"/>
      <c r="E20" s="2917" t="s">
        <v>2042</v>
      </c>
      <c r="F20" s="2918"/>
      <c r="G20" s="2067">
        <f>Стекла_база!AE9*(1+скидки_наценки!$B$29)*скидки_наценки!$D$13*скидки_наценки!$F$13/скидки_наценки!$B$4</f>
        <v>500</v>
      </c>
      <c r="H20" s="2067">
        <f>Стекла_база!AE7*(1+скидки_наценки!$B$29)*скидки_наценки!$D$13*скидки_наценки!$F$13/скидки_наценки!$B$4</f>
        <v>750</v>
      </c>
      <c r="I20" s="2067">
        <f>Стекла_база!AE9*(1+скидки_наценки!$B$29)*скидки_наценки!$D$13*скидки_наценки!$F$13/скидки_наценки!$B$4</f>
        <v>500</v>
      </c>
      <c r="J20" s="2067">
        <f>Стекла_база!AE7*(1+скидки_наценки!$B$29)*скидки_наценки!$D$13*скидки_наценки!$F$13/скидки_наценки!$B$4</f>
        <v>750</v>
      </c>
      <c r="K20" s="2067">
        <f>Стекла_база!AE7*(1+скидки_наценки!$B$29)*скидки_наценки!$D$13*скидки_наценки!$F$13/скидки_наценки!$B$4</f>
        <v>750</v>
      </c>
      <c r="L20" s="2228" t="s">
        <v>3</v>
      </c>
      <c r="M20" s="2216">
        <f>Стекла_база!AE6*(1+скидки_наценки!$B$29)*скидки_наценки!$D$13*скидки_наценки!$F$13/скидки_наценки!$B$4</f>
        <v>1550</v>
      </c>
      <c r="N20" s="2224">
        <f>Стекла_база!AE6*(1+скидки_наценки!$B$29)*скидки_наценки!$D$13*скидки_наценки!$F$13/скидки_наценки!$B$4</f>
        <v>1550</v>
      </c>
      <c r="O20" s="2230">
        <f>Стекла_база!AE6*(1+скидки_наценки!$B$29)*скидки_наценки!$D$13*скидки_наценки!$F$13/скидки_наценки!$B$4</f>
        <v>1550</v>
      </c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</row>
    <row r="21" spans="1:44" s="57" customFormat="1" ht="36.75" customHeight="1">
      <c r="A21" s="2960"/>
      <c r="B21" s="2961"/>
      <c r="C21" s="2958"/>
      <c r="D21" s="2959"/>
      <c r="E21" s="2952" t="s">
        <v>907</v>
      </c>
      <c r="F21" s="2953"/>
      <c r="G21" s="2068">
        <f>Стекла_база!AD9*(1+скидки_наценки!$B$32)*скидки_наценки!$D$13*скидки_наценки!$F$13/скидки_наценки!$B$4</f>
        <v>1000</v>
      </c>
      <c r="H21" s="2067">
        <f>Стекла_база!AD7*(1+скидки_наценки!$B$29)*скидки_наценки!$D$13*скидки_наценки!$F$13/скидки_наценки!$B$4</f>
        <v>1500</v>
      </c>
      <c r="I21" s="2069">
        <f>G21</f>
        <v>1000</v>
      </c>
      <c r="J21" s="2069">
        <f>H21</f>
        <v>1500</v>
      </c>
      <c r="K21" s="2069">
        <f>H21</f>
        <v>1500</v>
      </c>
      <c r="L21" s="2229" t="s">
        <v>3</v>
      </c>
      <c r="M21" s="2217">
        <f>Стекла_база!AD6*(1+скидки_наценки!$B$29)*скидки_наценки!$D$13*скидки_наценки!$F$13/скидки_наценки!$B$4</f>
        <v>3150</v>
      </c>
      <c r="N21" s="2225">
        <f>Стекла_база!AD6*(1+скидки_наценки!$B$29)*скидки_наценки!$D$13*скидки_наценки!$F$13/скидки_наценки!$B$4</f>
        <v>3150</v>
      </c>
      <c r="O21" s="2230">
        <f>Стекла_база!AD6*(1+скидки_наценки!$B$29)*скидки_наценки!$D$13*скидки_наценки!$F$13/скидки_наценки!$B$4</f>
        <v>3150</v>
      </c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</row>
    <row r="22" spans="1:44" s="56" customFormat="1" ht="18.75" customHeight="1">
      <c r="A22" s="2979" t="s">
        <v>48</v>
      </c>
      <c r="B22" s="2980"/>
      <c r="C22" s="2980"/>
      <c r="D22" s="2980"/>
      <c r="E22" s="2980"/>
      <c r="F22" s="2980"/>
      <c r="G22" s="2980"/>
      <c r="H22" s="2980"/>
      <c r="I22" s="2980"/>
      <c r="J22" s="2980"/>
      <c r="K22" s="2972"/>
      <c r="L22" s="2980"/>
      <c r="M22" s="2972"/>
      <c r="N22" s="2222"/>
      <c r="O22" s="2227"/>
      <c r="P22" s="211"/>
      <c r="Q22" s="211"/>
      <c r="R22" s="211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</row>
    <row r="23" spans="1:44" s="64" customFormat="1" ht="18.75" customHeight="1">
      <c r="A23" s="2904" t="s">
        <v>906</v>
      </c>
      <c r="B23" s="2905"/>
      <c r="C23" s="2905"/>
      <c r="D23" s="2906"/>
      <c r="E23" s="2981" t="s">
        <v>868</v>
      </c>
      <c r="F23" s="2982"/>
      <c r="G23" s="1821">
        <f>Стекла_база!Q9*(1+скидки_наценки!$B$32)*скидки_наценки!$D$13*скидки_наценки!$F$13/скидки_наценки!$B$4</f>
        <v>1000</v>
      </c>
      <c r="H23" s="1821">
        <f>Стекла_база!Q8*(1+скидки_наценки!$B$32)*скидки_наценки!$D$13*скидки_наценки!$F$13/скидки_наценки!$B$4</f>
        <v>1500</v>
      </c>
      <c r="I23" s="1821"/>
      <c r="J23" s="1821">
        <f>H23</f>
        <v>1500</v>
      </c>
      <c r="K23" s="1821">
        <f>J23</f>
        <v>1500</v>
      </c>
      <c r="L23" s="1821"/>
      <c r="M23" s="2218">
        <f>Стекла_база!Q6*(1+скидки_наценки!$B$29)*скидки_наценки!$D$13*скидки_наценки!$F$13/скидки_наценки!$B$4</f>
        <v>1600</v>
      </c>
      <c r="N23" s="694">
        <f>M23</f>
        <v>1600</v>
      </c>
      <c r="O23" s="2231">
        <f>M23</f>
        <v>1600</v>
      </c>
      <c r="P23" s="211"/>
      <c r="Q23" s="211"/>
      <c r="R23" s="211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60"/>
      <c r="AQ23" s="360"/>
      <c r="AR23" s="360"/>
    </row>
    <row r="24" spans="1:44" s="64" customFormat="1" ht="18.75" customHeight="1" thickBot="1">
      <c r="A24" s="2910"/>
      <c r="B24" s="2911"/>
      <c r="C24" s="2911"/>
      <c r="D24" s="2912"/>
      <c r="E24" s="2901" t="s">
        <v>1389</v>
      </c>
      <c r="F24" s="2902"/>
      <c r="G24" s="1813">
        <f>Стекла_база!R9*(1+скидки_наценки!$B$32)*скидки_наценки!$D$13*скидки_наценки!$F$13/скидки_наценки!$B$4</f>
        <v>1500</v>
      </c>
      <c r="H24" s="1821">
        <f>Стекла_база!R8*(1+скидки_наценки!$B$32)*скидки_наценки!$D$13*скидки_наценки!$F$13/скидки_наценки!$B$4</f>
        <v>2500</v>
      </c>
      <c r="I24" s="2256"/>
      <c r="J24" s="1821">
        <f>H24</f>
        <v>2500</v>
      </c>
      <c r="K24" s="1813">
        <f>J24</f>
        <v>2500</v>
      </c>
      <c r="L24" s="1813"/>
      <c r="M24" s="2219">
        <f>Стекла_база!R6*(1+скидки_наценки!$B$29)*скидки_наценки!$D$13*скидки_наценки!$F$13/скидки_наценки!$B$4</f>
        <v>5700</v>
      </c>
      <c r="N24" s="718">
        <f>M24</f>
        <v>5700</v>
      </c>
      <c r="O24" s="2232">
        <f>M24</f>
        <v>5700</v>
      </c>
      <c r="P24" s="211"/>
      <c r="Q24" s="211"/>
      <c r="R24" s="211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60"/>
      <c r="AQ24" s="360"/>
      <c r="AR24" s="360"/>
    </row>
    <row r="25" spans="1:44" s="64" customFormat="1" ht="18.75" customHeight="1" thickTop="1">
      <c r="A25" s="2904" t="s">
        <v>1803</v>
      </c>
      <c r="B25" s="2905"/>
      <c r="C25" s="2905"/>
      <c r="D25" s="2906"/>
      <c r="E25" s="2983" t="s">
        <v>2069</v>
      </c>
      <c r="F25" s="2983"/>
      <c r="G25" s="1354">
        <f>Стекла_база!S9*(1+скидки_наценки!$B$32)*скидки_наценки!$D$13*скидки_наценки!$F$13/скидки_наценки!$B$4</f>
        <v>1500</v>
      </c>
      <c r="H25" s="1354">
        <f>Стекла_база!T8*(1+скидки_наценки!$B$32)*скидки_наценки!$D$13*скидки_наценки!$F$13/скидки_наценки!$B$4</f>
        <v>2500</v>
      </c>
      <c r="I25" s="1354"/>
      <c r="J25" s="1354">
        <f>H25</f>
        <v>2500</v>
      </c>
      <c r="K25" s="1354">
        <f>J25</f>
        <v>2500</v>
      </c>
      <c r="L25" s="1354"/>
      <c r="M25" s="2220">
        <f>Стекла_база!U6*(1+скидки_наценки!$B$29)*скидки_наценки!$D$13*скидки_наценки!$F$13/скидки_наценки!$B$4</f>
        <v>7300</v>
      </c>
      <c r="N25" s="694">
        <f>M25</f>
        <v>7300</v>
      </c>
      <c r="O25" s="2231">
        <f>M25</f>
        <v>7300</v>
      </c>
      <c r="P25" s="211"/>
      <c r="Q25" s="211"/>
      <c r="R25" s="211"/>
      <c r="S25" s="360"/>
      <c r="T25" s="360"/>
      <c r="U25" s="360"/>
      <c r="V25" s="360"/>
      <c r="W25" s="360"/>
      <c r="X25" s="360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  <c r="AL25" s="360"/>
      <c r="AM25" s="360"/>
      <c r="AN25" s="360"/>
      <c r="AO25" s="360"/>
      <c r="AP25" s="360"/>
      <c r="AQ25" s="360"/>
      <c r="AR25" s="360"/>
    </row>
    <row r="26" spans="1:44" s="64" customFormat="1" ht="28.5" customHeight="1">
      <c r="A26" s="2907"/>
      <c r="B26" s="2908"/>
      <c r="C26" s="2908"/>
      <c r="D26" s="2909"/>
      <c r="E26" s="2984" t="s">
        <v>2070</v>
      </c>
      <c r="F26" s="2984"/>
      <c r="G26" s="2200">
        <f>Стекла_база!S10*(1+скидки_наценки!$B$32)*скидки_наценки!$D$13*скидки_наценки!$F$13/скидки_наценки!$B$4</f>
        <v>2000</v>
      </c>
      <c r="H26" s="708">
        <f>Стекла_база!S8*(1+скидки_наценки!$B$32)*скидки_наценки!$D$13*скидки_наценки!$F$13/скидки_наценки!$B$4</f>
        <v>3500</v>
      </c>
      <c r="I26" s="708"/>
      <c r="J26" s="1354">
        <f>H26</f>
        <v>3500</v>
      </c>
      <c r="K26" s="708">
        <f>J26</f>
        <v>3500</v>
      </c>
      <c r="L26" s="708"/>
      <c r="M26" s="2221">
        <f>Стекла_база!T6*(1+скидки_наценки!$B$29)*скидки_наценки!$D$13*скидки_наценки!$F$13/скидки_наценки!$B$4</f>
        <v>11500</v>
      </c>
      <c r="N26" s="718">
        <f>M26</f>
        <v>11500</v>
      </c>
      <c r="O26" s="2232">
        <f>M26</f>
        <v>11500</v>
      </c>
      <c r="P26" s="211"/>
      <c r="Q26" s="211"/>
      <c r="R26" s="211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0"/>
      <c r="AK26" s="360"/>
      <c r="AL26" s="360"/>
      <c r="AM26" s="360"/>
      <c r="AN26" s="360"/>
      <c r="AO26" s="360"/>
      <c r="AP26" s="360"/>
      <c r="AQ26" s="360"/>
      <c r="AR26" s="360"/>
    </row>
    <row r="27" spans="1:44" s="61" customFormat="1" ht="24.75" customHeight="1">
      <c r="A27" s="1361"/>
      <c r="B27" s="2970" t="s">
        <v>27</v>
      </c>
      <c r="C27" s="2970"/>
      <c r="D27" s="1367"/>
      <c r="E27" s="1367"/>
      <c r="F27" s="1367"/>
      <c r="G27" s="1389"/>
      <c r="H27" s="1389"/>
      <c r="I27" s="1389"/>
      <c r="J27" s="1389"/>
      <c r="K27" s="1389"/>
      <c r="L27" s="1389"/>
      <c r="M27" s="1389"/>
      <c r="N27" s="1389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</row>
    <row r="28" spans="1:44" s="348" customFormat="1" ht="21" customHeight="1">
      <c r="B28" s="2969" t="s">
        <v>1443</v>
      </c>
      <c r="C28" s="2969"/>
      <c r="D28" s="2969"/>
      <c r="E28" s="2969"/>
      <c r="F28" s="2969"/>
      <c r="G28" s="2969"/>
      <c r="H28" s="2969"/>
      <c r="I28" s="2969"/>
      <c r="J28" s="2969"/>
      <c r="K28" s="2969"/>
      <c r="L28" s="2969"/>
      <c r="M28" s="2969"/>
      <c r="N28" s="2198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</row>
    <row r="29" spans="1:44" ht="12" customHeight="1">
      <c r="A29" s="225"/>
      <c r="F29" s="120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</row>
    <row r="30" spans="1:44" ht="18" customHeight="1">
      <c r="A30" s="225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</row>
    <row r="31" spans="1:44" ht="20.100000000000001" customHeight="1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</row>
    <row r="32" spans="1:44">
      <c r="F32" s="120"/>
      <c r="G32" s="44"/>
      <c r="H32" s="44"/>
      <c r="I32" s="44"/>
      <c r="J32" s="44"/>
      <c r="K32" s="44"/>
      <c r="L32" s="44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</row>
    <row r="33" spans="1:44" s="227" customFormat="1">
      <c r="C33" s="471"/>
      <c r="F33" s="2"/>
      <c r="G33" s="44"/>
      <c r="H33" s="44"/>
      <c r="I33" s="44"/>
      <c r="J33" s="44"/>
      <c r="K33" s="44"/>
      <c r="L33" s="44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</row>
    <row r="34" spans="1:44" s="50" customFormat="1" ht="15" customHeight="1">
      <c r="A34" s="66"/>
      <c r="B34" s="315"/>
      <c r="C34" s="471"/>
      <c r="D34" s="315"/>
      <c r="E34" s="53"/>
      <c r="F34" s="53"/>
      <c r="G34" s="48"/>
      <c r="H34" s="48"/>
      <c r="I34" s="36"/>
      <c r="J34" s="11"/>
      <c r="K34" s="11"/>
      <c r="L34" s="11"/>
      <c r="M34" s="360"/>
      <c r="N34" s="360"/>
      <c r="O34" s="360"/>
      <c r="P34" s="360"/>
      <c r="Q34" s="360"/>
      <c r="R34" s="360"/>
      <c r="S34" s="360"/>
      <c r="T34" s="360"/>
      <c r="U34" s="360"/>
      <c r="V34" s="360"/>
      <c r="W34" s="360"/>
      <c r="X34" s="360"/>
      <c r="Y34" s="360"/>
      <c r="Z34" s="360"/>
      <c r="AA34" s="360"/>
      <c r="AB34" s="360"/>
      <c r="AC34" s="360"/>
      <c r="AD34" s="360"/>
      <c r="AE34" s="360"/>
      <c r="AF34" s="360"/>
      <c r="AG34" s="360"/>
      <c r="AH34" s="360"/>
      <c r="AI34" s="360"/>
      <c r="AJ34" s="360"/>
      <c r="AK34" s="360"/>
      <c r="AL34" s="360"/>
      <c r="AM34" s="360"/>
      <c r="AN34" s="360"/>
      <c r="AO34" s="360"/>
      <c r="AP34" s="360"/>
      <c r="AQ34" s="360"/>
      <c r="AR34" s="360"/>
    </row>
    <row r="35" spans="1:44" s="67" customFormat="1" ht="11.1" customHeight="1">
      <c r="B35" s="315"/>
      <c r="C35" s="471"/>
      <c r="D35" s="315"/>
      <c r="E35" s="171"/>
      <c r="F35" s="171"/>
      <c r="G35" s="36"/>
      <c r="H35" s="36"/>
      <c r="I35" s="3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06"/>
      <c r="AI35" s="506"/>
      <c r="AJ35" s="506"/>
      <c r="AK35" s="506"/>
      <c r="AL35" s="506"/>
      <c r="AM35" s="506"/>
      <c r="AN35" s="506"/>
      <c r="AO35" s="506"/>
      <c r="AP35" s="506"/>
      <c r="AQ35" s="506"/>
      <c r="AR35" s="506"/>
    </row>
    <row r="36" spans="1:44" s="67" customFormat="1" ht="11.1" customHeight="1">
      <c r="B36" s="315"/>
      <c r="C36" s="471"/>
      <c r="D36" s="315"/>
      <c r="E36" s="178"/>
      <c r="F36" s="178"/>
      <c r="G36" s="36"/>
      <c r="H36" s="36"/>
      <c r="I36" s="3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  <c r="AB36" s="506"/>
      <c r="AC36" s="506"/>
      <c r="AD36" s="506"/>
      <c r="AE36" s="506"/>
      <c r="AF36" s="506"/>
      <c r="AG36" s="506"/>
      <c r="AH36" s="506"/>
      <c r="AI36" s="506"/>
      <c r="AJ36" s="506"/>
      <c r="AK36" s="506"/>
      <c r="AL36" s="506"/>
      <c r="AM36" s="506"/>
      <c r="AN36" s="506"/>
      <c r="AO36" s="506"/>
      <c r="AP36" s="506"/>
      <c r="AQ36" s="506"/>
      <c r="AR36" s="506"/>
    </row>
    <row r="37" spans="1:44" ht="18" customHeight="1"/>
    <row r="38" spans="1:44" ht="18" customHeight="1"/>
    <row r="39" spans="1:44" ht="18" customHeight="1"/>
    <row r="41" spans="1:44" ht="15" customHeight="1"/>
  </sheetData>
  <mergeCells count="32">
    <mergeCell ref="G6:K6"/>
    <mergeCell ref="G16:K16"/>
    <mergeCell ref="N16:O16"/>
    <mergeCell ref="M6:O6"/>
    <mergeCell ref="D5:D6"/>
    <mergeCell ref="E5:E6"/>
    <mergeCell ref="F5:F6"/>
    <mergeCell ref="B28:M28"/>
    <mergeCell ref="B27:C27"/>
    <mergeCell ref="A17:M17"/>
    <mergeCell ref="A15:F16"/>
    <mergeCell ref="A23:D24"/>
    <mergeCell ref="A22:M22"/>
    <mergeCell ref="E23:F23"/>
    <mergeCell ref="E24:F24"/>
    <mergeCell ref="E25:F25"/>
    <mergeCell ref="E26:F26"/>
    <mergeCell ref="A25:D26"/>
    <mergeCell ref="A5:C6"/>
    <mergeCell ref="C18:D18"/>
    <mergeCell ref="E19:F19"/>
    <mergeCell ref="E21:F21"/>
    <mergeCell ref="C19:D21"/>
    <mergeCell ref="A18:B21"/>
    <mergeCell ref="E18:F18"/>
    <mergeCell ref="E20:F20"/>
    <mergeCell ref="A7:C7"/>
    <mergeCell ref="A8:A11"/>
    <mergeCell ref="B8:C8"/>
    <mergeCell ref="B9:C9"/>
    <mergeCell ref="B11:C11"/>
    <mergeCell ref="B10:C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4" fitToHeight="0" orientation="landscape" useFirstPageNumber="1" r:id="rId1"/>
  <headerFooter>
    <oddFooter>&amp;L&amp;P&amp;R&amp;G</oddFooter>
  </headerFooter>
  <rowBreaks count="1" manualBreakCount="1">
    <brk id="13" max="14" man="1"/>
  </rowBreaks>
  <ignoredErrors>
    <ignoredError sqref="H8:H11 I8:I11 H20" formula="1"/>
  </ignoredError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A1:AR39"/>
  <sheetViews>
    <sheetView view="pageBreakPreview" zoomScale="80" zoomScaleNormal="7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V43" sqref="V43"/>
    </sheetView>
  </sheetViews>
  <sheetFormatPr defaultColWidth="4.7109375" defaultRowHeight="15"/>
  <cols>
    <col min="1" max="1" width="5.7109375" style="19" customWidth="1"/>
    <col min="2" max="2" width="11.7109375" style="19" customWidth="1"/>
    <col min="3" max="3" width="11.7109375" style="471" customWidth="1"/>
    <col min="4" max="5" width="11.7109375" style="19" customWidth="1"/>
    <col min="6" max="6" width="11.7109375" style="2" customWidth="1"/>
    <col min="7" max="10" width="30.7109375" style="19" customWidth="1"/>
    <col min="11" max="16384" width="4.7109375" style="19"/>
  </cols>
  <sheetData>
    <row r="1" spans="1:44" s="150" customFormat="1" ht="18" customHeight="1">
      <c r="A1" s="1029"/>
      <c r="B1" s="1028" t="s">
        <v>307</v>
      </c>
      <c r="C1" s="1028"/>
      <c r="D1" s="1029"/>
      <c r="E1" s="1029"/>
      <c r="F1" s="1030"/>
      <c r="G1" s="1029"/>
      <c r="H1" s="1029"/>
    </row>
    <row r="3" spans="1:44" s="380" customFormat="1" ht="11.25" customHeight="1">
      <c r="A3" s="7"/>
      <c r="B3" s="752"/>
      <c r="C3" s="752"/>
      <c r="D3" s="752"/>
      <c r="E3" s="752"/>
      <c r="F3" s="425"/>
      <c r="G3" s="357"/>
      <c r="H3" s="357"/>
      <c r="I3" s="23"/>
    </row>
    <row r="4" spans="1:44">
      <c r="A4" s="121"/>
      <c r="B4" s="17" t="s">
        <v>54</v>
      </c>
      <c r="C4" s="17"/>
      <c r="D4" s="121"/>
      <c r="E4" s="121"/>
      <c r="F4" s="423"/>
      <c r="G4" s="13"/>
      <c r="H4" s="13"/>
      <c r="I4" s="23"/>
    </row>
    <row r="5" spans="1:44">
      <c r="A5" s="2882" t="s">
        <v>1</v>
      </c>
      <c r="B5" s="2882"/>
      <c r="C5" s="2882"/>
      <c r="D5" s="2883" t="s">
        <v>39</v>
      </c>
      <c r="E5" s="2988" t="s">
        <v>38</v>
      </c>
      <c r="F5" s="2988" t="s">
        <v>7</v>
      </c>
      <c r="G5" s="2990" t="s">
        <v>903</v>
      </c>
      <c r="H5" s="2990" t="s">
        <v>904</v>
      </c>
      <c r="I5" s="2990" t="s">
        <v>905</v>
      </c>
      <c r="J5" s="2992" t="s">
        <v>1558</v>
      </c>
    </row>
    <row r="6" spans="1:44" s="471" customFormat="1">
      <c r="A6" s="2947"/>
      <c r="B6" s="2947"/>
      <c r="C6" s="2947"/>
      <c r="D6" s="2948"/>
      <c r="E6" s="2994"/>
      <c r="F6" s="2994"/>
      <c r="G6" s="2991"/>
      <c r="H6" s="2991"/>
      <c r="I6" s="2991"/>
      <c r="J6" s="2993"/>
    </row>
    <row r="7" spans="1:44" s="21" customFormat="1" ht="30" customHeight="1">
      <c r="A7" s="2997" t="s">
        <v>28</v>
      </c>
      <c r="B7" s="2932" t="s">
        <v>207</v>
      </c>
      <c r="C7" s="2932"/>
      <c r="D7" s="2019" t="s">
        <v>1953</v>
      </c>
      <c r="E7" s="2019" t="s">
        <v>40</v>
      </c>
      <c r="F7" s="2018" t="s">
        <v>0</v>
      </c>
      <c r="G7" s="2047">
        <f>'Полотна база'!Q9*(1+скидки_наценки!$B$30)*скидки_наценки!$D$13*скидки_наценки!$F$13/скидки_наценки!$B$4</f>
        <v>20250</v>
      </c>
      <c r="H7" s="2047">
        <f>'Полотна база'!Q9*(1+скидки_наценки!$B$30)*скидки_наценки!$D$13*скидки_наценки!$F$13/скидки_наценки!$B$4</f>
        <v>20250</v>
      </c>
      <c r="I7" s="2047">
        <f>H7</f>
        <v>20250</v>
      </c>
      <c r="J7" s="2047">
        <f>'Полотна база'!R9*(1+скидки_наценки!$B$30)*скидки_наценки!$D$13*скидки_наценки!$F$13/скидки_наценки!$B$4</f>
        <v>23200</v>
      </c>
    </row>
    <row r="8" spans="1:44" s="551" customFormat="1" ht="30" customHeight="1">
      <c r="A8" s="2997"/>
      <c r="B8" s="2998" t="s">
        <v>1435</v>
      </c>
      <c r="C8" s="2998"/>
      <c r="D8" s="2045" t="s">
        <v>1953</v>
      </c>
      <c r="E8" s="2020" t="s">
        <v>40</v>
      </c>
      <c r="F8" s="2017" t="s">
        <v>0</v>
      </c>
      <c r="G8" s="2046">
        <f>'Полотна база'!Q13*(1+скидки_наценки!$B$29)*скидки_наценки!$D$13*скидки_наценки!$F$13/скидки_наценки!$B$4</f>
        <v>27300</v>
      </c>
      <c r="H8" s="2046">
        <f>'Полотна база'!Q13*(1+скидки_наценки!$B$29)*скидки_наценки!$D$13*скидки_наценки!$F$13/скидки_наценки!$B$4</f>
        <v>27300</v>
      </c>
      <c r="I8" s="2046">
        <f>H8</f>
        <v>27300</v>
      </c>
      <c r="J8" s="2046" t="s">
        <v>3</v>
      </c>
    </row>
    <row r="9" spans="1:44" s="11" customFormat="1" ht="18" hidden="1" customHeight="1">
      <c r="B9" s="53" t="s">
        <v>19</v>
      </c>
      <c r="C9" s="53"/>
      <c r="H9" s="54"/>
      <c r="I9" s="54"/>
      <c r="J9" s="55"/>
      <c r="K9" s="471"/>
      <c r="L9" s="471"/>
      <c r="M9" s="471"/>
      <c r="N9" s="211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</row>
    <row r="10" spans="1:44" s="11" customFormat="1" ht="18" hidden="1" customHeight="1">
      <c r="A10" s="2881" t="s">
        <v>2</v>
      </c>
      <c r="B10" s="2882"/>
      <c r="C10" s="2882"/>
      <c r="D10" s="2882"/>
      <c r="E10" s="2882"/>
      <c r="F10" s="2883"/>
      <c r="G10" s="1099" t="str">
        <f>G5</f>
        <v>серия Linea</v>
      </c>
      <c r="H10" s="1099" t="str">
        <f>H5</f>
        <v>серия Twist</v>
      </c>
      <c r="I10" s="1099" t="str">
        <f>I5</f>
        <v xml:space="preserve">серия Lingo </v>
      </c>
      <c r="J10" s="1099" t="str">
        <f>J5</f>
        <v xml:space="preserve">серия Mezzo </v>
      </c>
      <c r="K10" s="471"/>
      <c r="L10" s="471"/>
      <c r="M10" s="471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</row>
    <row r="11" spans="1:44" s="56" customFormat="1" ht="18" hidden="1" customHeight="1">
      <c r="A11" s="1426" t="s">
        <v>1190</v>
      </c>
      <c r="B11" s="1427"/>
      <c r="C11" s="1428"/>
      <c r="D11" s="1427"/>
      <c r="E11" s="1427"/>
      <c r="F11" s="1427"/>
      <c r="G11" s="1427"/>
      <c r="H11" s="1427"/>
      <c r="I11" s="1427"/>
      <c r="J11" s="1427"/>
      <c r="K11" s="471"/>
      <c r="L11" s="471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</row>
    <row r="12" spans="1:44" s="57" customFormat="1" ht="18" hidden="1" customHeight="1">
      <c r="A12" s="2943" t="s">
        <v>1186</v>
      </c>
      <c r="B12" s="2944"/>
      <c r="C12" s="2944"/>
      <c r="D12" s="2944"/>
      <c r="E12" s="2944"/>
      <c r="F12" s="2945"/>
      <c r="G12" s="1429">
        <v>0.15</v>
      </c>
      <c r="H12" s="1429">
        <f>G12</f>
        <v>0.15</v>
      </c>
      <c r="I12" s="1429">
        <f>H12</f>
        <v>0.15</v>
      </c>
      <c r="J12" s="1429">
        <f>I12</f>
        <v>0.15</v>
      </c>
      <c r="K12" s="471"/>
      <c r="L12" s="47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</row>
    <row r="13" spans="1:44" s="57" customFormat="1" ht="18" hidden="1" customHeight="1">
      <c r="A13" s="2933" t="s">
        <v>1187</v>
      </c>
      <c r="B13" s="2934"/>
      <c r="C13" s="2934"/>
      <c r="D13" s="2934"/>
      <c r="E13" s="2934"/>
      <c r="F13" s="2935"/>
      <c r="G13" s="1431">
        <v>0.2</v>
      </c>
      <c r="H13" s="1431">
        <f t="shared" ref="H13:J14" si="0">G13</f>
        <v>0.2</v>
      </c>
      <c r="I13" s="1431">
        <f t="shared" si="0"/>
        <v>0.2</v>
      </c>
      <c r="J13" s="1431">
        <f t="shared" si="0"/>
        <v>0.2</v>
      </c>
      <c r="K13" s="471"/>
      <c r="L13" s="47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</row>
    <row r="14" spans="1:44" s="57" customFormat="1" ht="18" hidden="1" customHeight="1">
      <c r="A14" s="2893" t="s">
        <v>1188</v>
      </c>
      <c r="B14" s="2894"/>
      <c r="C14" s="2894"/>
      <c r="D14" s="2894"/>
      <c r="E14" s="2894"/>
      <c r="F14" s="2895"/>
      <c r="G14" s="1430">
        <v>0.3</v>
      </c>
      <c r="H14" s="1430">
        <f t="shared" si="0"/>
        <v>0.3</v>
      </c>
      <c r="I14" s="1430">
        <f t="shared" si="0"/>
        <v>0.3</v>
      </c>
      <c r="J14" s="1430">
        <f t="shared" si="0"/>
        <v>0.3</v>
      </c>
      <c r="K14" s="471"/>
      <c r="L14" s="47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</row>
    <row r="15" spans="1:44" s="187" customFormat="1" ht="15.75">
      <c r="A15" s="713"/>
      <c r="B15" s="2970" t="s">
        <v>27</v>
      </c>
      <c r="C15" s="2970"/>
      <c r="D15" s="713"/>
      <c r="E15" s="713"/>
      <c r="F15" s="714"/>
      <c r="G15" s="714"/>
      <c r="H15" s="714"/>
      <c r="I15" s="714"/>
      <c r="J15" s="246"/>
      <c r="K15" s="471"/>
      <c r="L15" s="471"/>
      <c r="M15" s="690"/>
      <c r="N15" s="690"/>
      <c r="O15" s="690"/>
      <c r="P15" s="690"/>
      <c r="Q15" s="690"/>
      <c r="R15" s="690"/>
      <c r="S15" s="690"/>
      <c r="T15" s="690"/>
      <c r="U15" s="690"/>
      <c r="V15" s="690"/>
      <c r="W15" s="690"/>
      <c r="X15" s="690"/>
      <c r="Y15" s="690"/>
      <c r="Z15" s="690"/>
      <c r="AA15" s="690"/>
      <c r="AB15" s="690"/>
      <c r="AC15" s="690"/>
      <c r="AD15" s="690"/>
      <c r="AE15" s="690"/>
      <c r="AF15" s="690"/>
      <c r="AG15" s="690"/>
      <c r="AH15" s="690"/>
    </row>
    <row r="16" spans="1:44" s="187" customFormat="1" ht="15.75">
      <c r="A16" s="713"/>
      <c r="B16" s="2996" t="s">
        <v>1444</v>
      </c>
      <c r="C16" s="2996"/>
      <c r="D16" s="2996"/>
      <c r="E16" s="2996"/>
      <c r="F16" s="2996"/>
      <c r="G16" s="2996"/>
      <c r="H16" s="2996"/>
      <c r="I16" s="2996"/>
      <c r="J16" s="2996"/>
      <c r="K16" s="2996"/>
      <c r="L16" s="2996"/>
      <c r="M16" s="690"/>
      <c r="N16" s="690"/>
      <c r="O16" s="690"/>
      <c r="P16" s="690"/>
      <c r="Q16" s="690"/>
      <c r="R16" s="690"/>
      <c r="S16" s="690"/>
      <c r="T16" s="690"/>
      <c r="U16" s="690"/>
      <c r="V16" s="690"/>
      <c r="W16" s="690"/>
      <c r="X16" s="690"/>
      <c r="Y16" s="690"/>
      <c r="Z16" s="690"/>
      <c r="AA16" s="690"/>
      <c r="AB16" s="690"/>
      <c r="AC16" s="690"/>
      <c r="AD16" s="690"/>
      <c r="AE16" s="690"/>
      <c r="AF16" s="690"/>
      <c r="AG16" s="690"/>
      <c r="AH16" s="690"/>
    </row>
    <row r="17" spans="1:34" s="187" customFormat="1" ht="18.75" customHeight="1">
      <c r="A17" s="713"/>
      <c r="B17" s="713"/>
      <c r="C17" s="713"/>
      <c r="D17" s="713"/>
      <c r="E17" s="713"/>
      <c r="F17" s="714"/>
      <c r="G17" s="714"/>
      <c r="H17" s="714"/>
      <c r="I17" s="714"/>
      <c r="J17" s="246"/>
      <c r="K17" s="690"/>
      <c r="L17" s="690"/>
      <c r="M17" s="690"/>
      <c r="N17" s="690"/>
      <c r="O17" s="690"/>
      <c r="P17" s="690"/>
      <c r="Q17" s="690"/>
      <c r="R17" s="690"/>
      <c r="S17" s="690"/>
      <c r="T17" s="690"/>
      <c r="U17" s="690"/>
      <c r="V17" s="690"/>
      <c r="W17" s="690"/>
      <c r="X17" s="690"/>
      <c r="Y17" s="690"/>
      <c r="Z17" s="690"/>
      <c r="AA17" s="690"/>
      <c r="AB17" s="690"/>
      <c r="AC17" s="690"/>
      <c r="AD17" s="690"/>
      <c r="AE17" s="690"/>
      <c r="AF17" s="690"/>
      <c r="AG17" s="690"/>
      <c r="AH17" s="690"/>
    </row>
    <row r="18" spans="1:34" s="187" customFormat="1" ht="15.75" customHeight="1">
      <c r="A18" s="1575"/>
      <c r="B18" s="1576"/>
      <c r="C18" s="1576"/>
      <c r="D18" s="49" t="s">
        <v>1497</v>
      </c>
      <c r="E18" s="1562"/>
      <c r="F18" s="1577"/>
      <c r="G18" s="1577"/>
      <c r="H18" s="1577"/>
      <c r="I18" s="1576"/>
      <c r="J18" s="247"/>
      <c r="K18" s="690"/>
      <c r="L18" s="690"/>
      <c r="M18" s="690"/>
      <c r="N18" s="690"/>
      <c r="O18" s="690"/>
      <c r="P18" s="690"/>
      <c r="Q18" s="690"/>
      <c r="R18" s="690"/>
      <c r="S18" s="690"/>
      <c r="T18" s="690"/>
      <c r="U18" s="690"/>
      <c r="V18" s="690"/>
      <c r="W18" s="690"/>
      <c r="X18" s="690"/>
      <c r="Y18" s="690"/>
      <c r="Z18" s="690"/>
      <c r="AA18" s="690"/>
      <c r="AB18" s="690"/>
      <c r="AC18" s="690"/>
      <c r="AD18" s="690"/>
      <c r="AE18" s="690"/>
      <c r="AF18" s="690"/>
      <c r="AG18" s="690"/>
      <c r="AH18" s="690"/>
    </row>
    <row r="19" spans="1:34">
      <c r="A19" s="57"/>
      <c r="B19" s="57"/>
      <c r="C19" s="57"/>
      <c r="D19" s="1562"/>
      <c r="E19" s="1563"/>
      <c r="F19" s="2995" t="s">
        <v>1498</v>
      </c>
      <c r="G19" s="2995"/>
      <c r="H19" s="2995"/>
      <c r="I19" s="1573" t="s">
        <v>1502</v>
      </c>
      <c r="J19" s="57"/>
    </row>
    <row r="20" spans="1:34">
      <c r="A20" s="57"/>
      <c r="B20" s="57"/>
      <c r="C20" s="57"/>
      <c r="D20" s="1562"/>
      <c r="E20" s="1563"/>
      <c r="F20" s="1572"/>
      <c r="G20" s="57"/>
      <c r="H20" s="57"/>
      <c r="I20" s="57"/>
      <c r="J20" s="57"/>
    </row>
    <row r="21" spans="1:34">
      <c r="A21" s="57"/>
      <c r="B21" s="57"/>
      <c r="C21" s="57"/>
      <c r="D21" s="57"/>
      <c r="E21" s="57"/>
      <c r="F21" s="1572"/>
      <c r="G21" s="57"/>
      <c r="H21" s="57"/>
      <c r="I21" s="57"/>
      <c r="J21" s="57"/>
    </row>
    <row r="22" spans="1:34">
      <c r="A22" s="57"/>
      <c r="B22" s="57"/>
      <c r="C22" s="57"/>
      <c r="D22" s="57"/>
      <c r="E22" s="57"/>
      <c r="F22" s="1572"/>
      <c r="G22" s="57"/>
      <c r="H22" s="57"/>
      <c r="I22" s="57"/>
      <c r="J22" s="57"/>
    </row>
    <row r="23" spans="1:34">
      <c r="A23" s="57"/>
      <c r="B23" s="57"/>
      <c r="C23" s="57"/>
      <c r="D23" s="57"/>
      <c r="E23" s="57"/>
      <c r="F23" s="1572"/>
      <c r="G23" s="57"/>
      <c r="H23" s="57"/>
      <c r="I23" s="57"/>
      <c r="J23" s="57"/>
    </row>
    <row r="24" spans="1:34">
      <c r="A24" s="57"/>
      <c r="B24" s="57"/>
      <c r="C24" s="57"/>
      <c r="D24" s="57"/>
      <c r="E24" s="57"/>
      <c r="F24" s="1572"/>
      <c r="G24" s="57"/>
      <c r="H24" s="57"/>
      <c r="I24" s="57"/>
      <c r="J24" s="57"/>
    </row>
    <row r="25" spans="1:34">
      <c r="A25" s="57"/>
      <c r="B25" s="57"/>
      <c r="C25" s="57"/>
      <c r="D25" s="57"/>
      <c r="E25" s="57"/>
      <c r="F25" s="1572"/>
      <c r="G25" s="57"/>
      <c r="H25" s="57"/>
      <c r="I25" s="57"/>
      <c r="J25" s="57"/>
    </row>
    <row r="26" spans="1:34">
      <c r="A26" s="57"/>
      <c r="B26" s="57"/>
      <c r="C26" s="57"/>
      <c r="D26" s="57"/>
      <c r="E26" s="57"/>
      <c r="F26" s="1572"/>
      <c r="G26" s="57"/>
      <c r="H26" s="57"/>
      <c r="I26" s="57"/>
      <c r="J26" s="57"/>
    </row>
    <row r="27" spans="1:34">
      <c r="A27" s="57"/>
      <c r="B27" s="57"/>
      <c r="C27" s="57"/>
      <c r="D27" s="57"/>
      <c r="E27" s="57"/>
      <c r="F27" s="1572"/>
      <c r="G27" s="57"/>
      <c r="H27" s="57"/>
      <c r="I27" s="57"/>
      <c r="J27" s="57"/>
    </row>
    <row r="28" spans="1:34">
      <c r="A28" s="57"/>
      <c r="B28" s="57"/>
      <c r="C28" s="57"/>
      <c r="D28" s="57"/>
      <c r="E28" s="57"/>
      <c r="F28" s="1572"/>
      <c r="G28" s="57"/>
      <c r="H28" s="57"/>
      <c r="I28" s="57"/>
      <c r="J28" s="57"/>
    </row>
    <row r="29" spans="1:34">
      <c r="A29" s="57"/>
      <c r="B29" s="57"/>
      <c r="C29" s="57"/>
      <c r="D29" s="57"/>
      <c r="E29" s="57"/>
      <c r="F29" s="1574" t="s">
        <v>1503</v>
      </c>
      <c r="G29" s="57"/>
      <c r="H29" s="57"/>
      <c r="I29" s="1573" t="s">
        <v>1571</v>
      </c>
      <c r="J29" s="57"/>
    </row>
    <row r="30" spans="1:34">
      <c r="A30" s="57"/>
      <c r="B30" s="57"/>
      <c r="C30" s="57"/>
      <c r="D30" s="57"/>
      <c r="E30" s="57"/>
      <c r="F30" s="1572"/>
      <c r="G30" s="57"/>
      <c r="H30" s="57"/>
      <c r="J30" s="57"/>
    </row>
    <row r="31" spans="1:34">
      <c r="A31" s="57"/>
      <c r="B31" s="57"/>
      <c r="C31" s="57"/>
      <c r="D31" s="57"/>
      <c r="E31" s="57"/>
      <c r="F31" s="1572"/>
      <c r="G31" s="57"/>
      <c r="H31" s="57"/>
      <c r="I31" s="57"/>
      <c r="J31" s="57"/>
    </row>
    <row r="32" spans="1:34">
      <c r="A32" s="57"/>
      <c r="B32" s="57"/>
      <c r="C32" s="57"/>
      <c r="D32" s="57"/>
      <c r="E32" s="57"/>
      <c r="F32" s="1572"/>
      <c r="G32" s="57"/>
      <c r="H32" s="57"/>
      <c r="I32" s="57"/>
      <c r="J32" s="57"/>
    </row>
    <row r="33" spans="1:10">
      <c r="A33" s="57"/>
      <c r="B33" s="57"/>
      <c r="C33" s="57"/>
      <c r="D33" s="57"/>
      <c r="E33" s="57"/>
      <c r="F33" s="1572"/>
      <c r="G33" s="57"/>
      <c r="H33" s="57"/>
      <c r="I33" s="57"/>
      <c r="J33" s="57"/>
    </row>
    <row r="34" spans="1:10">
      <c r="A34" s="57"/>
      <c r="B34" s="57"/>
      <c r="C34" s="57"/>
      <c r="D34" s="57"/>
      <c r="E34" s="57"/>
      <c r="F34" s="1572"/>
      <c r="G34" s="57"/>
      <c r="H34" s="57"/>
      <c r="I34" s="57"/>
      <c r="J34" s="57"/>
    </row>
    <row r="35" spans="1:10">
      <c r="A35" s="57"/>
      <c r="B35" s="57"/>
      <c r="C35" s="57"/>
      <c r="D35" s="57"/>
      <c r="E35" s="57"/>
      <c r="F35" s="1572"/>
      <c r="G35" s="57"/>
      <c r="H35" s="57"/>
      <c r="I35" s="57"/>
      <c r="J35" s="57"/>
    </row>
    <row r="36" spans="1:10">
      <c r="A36" s="57"/>
      <c r="B36" s="57"/>
      <c r="C36" s="57"/>
      <c r="D36" s="57"/>
      <c r="E36" s="57"/>
      <c r="F36" s="1572"/>
      <c r="G36" s="57"/>
      <c r="H36" s="57"/>
      <c r="I36" s="57"/>
      <c r="J36" s="57"/>
    </row>
    <row r="37" spans="1:10">
      <c r="A37" s="57"/>
      <c r="B37" s="57"/>
      <c r="C37" s="57"/>
      <c r="D37" s="57"/>
      <c r="E37" s="57"/>
      <c r="F37" s="1572"/>
      <c r="G37" s="57"/>
      <c r="H37" s="57"/>
      <c r="I37" s="57"/>
      <c r="J37" s="57"/>
    </row>
    <row r="38" spans="1:10">
      <c r="A38" s="57"/>
      <c r="B38" s="57"/>
      <c r="C38" s="57"/>
      <c r="D38" s="57"/>
      <c r="E38" s="57"/>
      <c r="F38" s="1572"/>
      <c r="G38" s="57"/>
      <c r="H38" s="57"/>
      <c r="I38" s="57"/>
      <c r="J38" s="57"/>
    </row>
    <row r="39" spans="1:10">
      <c r="A39" s="57"/>
      <c r="B39" s="57"/>
      <c r="C39" s="57"/>
      <c r="D39" s="57"/>
      <c r="E39" s="57"/>
      <c r="F39" s="1572"/>
      <c r="G39" s="57"/>
      <c r="H39" s="57"/>
      <c r="I39" s="57"/>
      <c r="J39" s="57"/>
    </row>
  </sheetData>
  <mergeCells count="18">
    <mergeCell ref="B15:C15"/>
    <mergeCell ref="A10:F10"/>
    <mergeCell ref="B7:C7"/>
    <mergeCell ref="F19:H19"/>
    <mergeCell ref="B16:L16"/>
    <mergeCell ref="A12:F12"/>
    <mergeCell ref="A13:F13"/>
    <mergeCell ref="A14:F14"/>
    <mergeCell ref="A7:A8"/>
    <mergeCell ref="B8:C8"/>
    <mergeCell ref="H5:H6"/>
    <mergeCell ref="I5:I6"/>
    <mergeCell ref="J5:J6"/>
    <mergeCell ref="A5:C6"/>
    <mergeCell ref="D5:D6"/>
    <mergeCell ref="E5:E6"/>
    <mergeCell ref="F5:F6"/>
    <mergeCell ref="G5:G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23622047244094491" bottom="0.31496062992125984" header="0.59055118110236227" footer="0.31496062992125984"/>
  <pageSetup paperSize="9" scale="60" firstPageNumber="36" orientation="landscape" useFirstPageNumber="1" r:id="rId1"/>
  <headerFooter>
    <oddFooter>&amp;L&amp;P&amp;R&amp;G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rgb="FF92D050"/>
  </sheetPr>
  <dimension ref="A1:DD58"/>
  <sheetViews>
    <sheetView view="pageBreakPreview" zoomScale="80" zoomScaleNormal="85" zoomScaleSheetLayoutView="8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H28" sqref="H28:H29"/>
    </sheetView>
  </sheetViews>
  <sheetFormatPr defaultColWidth="8.85546875" defaultRowHeight="15"/>
  <cols>
    <col min="1" max="1" width="4.7109375" style="120" customWidth="1"/>
    <col min="2" max="5" width="11.7109375" style="120" customWidth="1"/>
    <col min="6" max="6" width="11.7109375" style="2" customWidth="1"/>
    <col min="7" max="11" width="20.7109375" style="120" customWidth="1"/>
    <col min="14" max="16384" width="8.85546875" style="120"/>
  </cols>
  <sheetData>
    <row r="1" spans="1:108" s="11" customFormat="1" ht="18" customHeight="1">
      <c r="B1" s="1026" t="s">
        <v>307</v>
      </c>
      <c r="C1" s="1026"/>
      <c r="D1" s="24"/>
      <c r="E1" s="24"/>
      <c r="F1" s="4"/>
      <c r="G1" s="24"/>
      <c r="H1" s="24"/>
      <c r="I1" s="24"/>
      <c r="J1" s="24"/>
      <c r="K1" s="24"/>
      <c r="L1" s="24"/>
      <c r="S1" s="1027"/>
      <c r="T1" s="1027"/>
      <c r="U1" s="1027"/>
      <c r="V1" s="1027"/>
      <c r="W1" s="1027"/>
      <c r="X1" s="1027"/>
      <c r="Y1" s="1027"/>
      <c r="Z1" s="1027"/>
      <c r="AA1" s="1027"/>
      <c r="AB1" s="1027"/>
      <c r="AC1" s="1027"/>
      <c r="AD1" s="1027"/>
      <c r="AE1" s="1027"/>
      <c r="AF1" s="1027"/>
      <c r="AG1" s="1027"/>
      <c r="AH1" s="1027"/>
      <c r="AI1" s="1027"/>
      <c r="AJ1" s="1027"/>
      <c r="AK1" s="1027"/>
      <c r="AL1" s="1027"/>
      <c r="AM1" s="1027"/>
      <c r="AN1" s="1027"/>
      <c r="AO1" s="1027"/>
      <c r="AP1" s="1027"/>
      <c r="AQ1" s="1027"/>
      <c r="AR1" s="1027"/>
      <c r="AS1" s="1027"/>
      <c r="AT1" s="1027"/>
      <c r="AU1" s="1027"/>
      <c r="AV1" s="1027"/>
      <c r="AW1" s="1027"/>
      <c r="AX1" s="1027"/>
      <c r="AY1" s="1027"/>
      <c r="AZ1" s="1027"/>
      <c r="BA1" s="1027"/>
      <c r="BB1" s="1027"/>
      <c r="BC1" s="1027"/>
      <c r="BD1" s="1027"/>
      <c r="BE1" s="1027"/>
      <c r="BF1" s="1027"/>
      <c r="BG1" s="1027"/>
      <c r="BH1" s="1027"/>
      <c r="BI1" s="1027"/>
      <c r="BJ1" s="1027"/>
      <c r="BK1" s="1027"/>
      <c r="BL1" s="1027"/>
      <c r="BM1" s="1027"/>
      <c r="BN1" s="1027"/>
      <c r="BO1" s="1027"/>
      <c r="BP1" s="1027"/>
      <c r="BQ1" s="1027"/>
      <c r="BR1" s="1027"/>
      <c r="BS1" s="1027"/>
      <c r="BT1" s="1027"/>
      <c r="BU1" s="1027"/>
      <c r="BV1" s="1027"/>
      <c r="BW1" s="1027"/>
      <c r="BX1" s="1027"/>
      <c r="BY1" s="1027"/>
      <c r="BZ1" s="1027"/>
      <c r="CA1" s="1027"/>
      <c r="CB1" s="1027"/>
      <c r="CC1" s="1027"/>
      <c r="CD1" s="1027"/>
      <c r="CE1" s="1027"/>
      <c r="CF1" s="1027"/>
      <c r="CG1" s="1027"/>
      <c r="CH1" s="1027"/>
      <c r="CI1" s="1027"/>
      <c r="CJ1" s="1027"/>
      <c r="CK1" s="1027"/>
      <c r="CL1" s="1027"/>
      <c r="CM1" s="1027"/>
      <c r="CN1" s="1027"/>
      <c r="CO1" s="1027"/>
      <c r="CP1" s="1027"/>
      <c r="CQ1" s="1027"/>
      <c r="CR1" s="1027"/>
      <c r="CS1" s="1027"/>
      <c r="CT1" s="1027"/>
      <c r="CU1" s="1027"/>
      <c r="CV1" s="1027"/>
      <c r="CW1" s="1027"/>
      <c r="CX1" s="1027"/>
      <c r="CY1" s="1027"/>
      <c r="CZ1" s="1027"/>
      <c r="DA1" s="1027"/>
      <c r="DB1" s="1027"/>
      <c r="DC1" s="1027"/>
      <c r="DD1" s="1027"/>
    </row>
    <row r="2" spans="1:108" ht="18.75">
      <c r="A2" s="5"/>
      <c r="F2" s="423"/>
      <c r="G2" s="13"/>
      <c r="H2" s="424"/>
      <c r="I2" s="13"/>
      <c r="J2" s="13"/>
      <c r="K2" s="13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</row>
    <row r="3" spans="1:108" ht="79.900000000000006" customHeight="1">
      <c r="A3" s="7"/>
      <c r="B3" s="2022"/>
      <c r="C3" s="2022"/>
      <c r="D3" s="121"/>
      <c r="E3" s="121"/>
      <c r="F3" s="121"/>
      <c r="G3" s="63"/>
      <c r="H3" s="729"/>
      <c r="I3" s="7"/>
      <c r="J3" s="7"/>
      <c r="K3" s="7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</row>
    <row r="4" spans="1:108">
      <c r="A4" s="121"/>
      <c r="B4" s="17" t="s">
        <v>54</v>
      </c>
      <c r="C4" s="121"/>
      <c r="D4" s="121"/>
      <c r="E4" s="121"/>
      <c r="F4" s="6"/>
      <c r="G4" s="121"/>
      <c r="H4" s="121"/>
      <c r="I4" s="121"/>
      <c r="J4" s="121"/>
      <c r="K4" s="12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</row>
    <row r="5" spans="1:108" ht="15" customHeight="1">
      <c r="A5" s="2884" t="s">
        <v>1</v>
      </c>
      <c r="B5" s="2884"/>
      <c r="C5" s="2884"/>
      <c r="D5" s="2884" t="s">
        <v>39</v>
      </c>
      <c r="E5" s="2884" t="s">
        <v>38</v>
      </c>
      <c r="F5" s="2884" t="s">
        <v>34</v>
      </c>
      <c r="G5" s="2999" t="s">
        <v>896</v>
      </c>
      <c r="H5" s="2011" t="s">
        <v>893</v>
      </c>
      <c r="I5" s="2011" t="s">
        <v>894</v>
      </c>
      <c r="J5" s="2011" t="s">
        <v>895</v>
      </c>
      <c r="K5" s="2053" t="s">
        <v>902</v>
      </c>
      <c r="N5" s="481"/>
      <c r="O5" s="481"/>
      <c r="P5" s="481"/>
      <c r="Q5" s="481"/>
      <c r="R5" s="481"/>
      <c r="S5" s="481"/>
      <c r="T5" s="481"/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</row>
    <row r="6" spans="1:108" ht="15" customHeight="1">
      <c r="A6" s="2884"/>
      <c r="B6" s="2884"/>
      <c r="C6" s="2884"/>
      <c r="D6" s="2884"/>
      <c r="E6" s="2884"/>
      <c r="F6" s="2884"/>
      <c r="G6" s="2999"/>
      <c r="H6" s="2054" t="s">
        <v>45</v>
      </c>
      <c r="I6" s="2054" t="s">
        <v>46</v>
      </c>
      <c r="J6" s="2054" t="s">
        <v>46</v>
      </c>
      <c r="K6" s="2020" t="s">
        <v>901</v>
      </c>
      <c r="N6" s="481"/>
      <c r="O6" s="481"/>
      <c r="P6" s="481"/>
      <c r="Q6" s="481"/>
      <c r="R6" s="481"/>
      <c r="S6" s="481"/>
      <c r="T6" s="481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</row>
    <row r="7" spans="1:108" s="9" customFormat="1" ht="24" customHeight="1">
      <c r="A7" s="2877" t="s">
        <v>1952</v>
      </c>
      <c r="B7" s="2877"/>
      <c r="C7" s="2877"/>
      <c r="D7" s="2019" t="s">
        <v>1953</v>
      </c>
      <c r="E7" s="2019" t="s">
        <v>31</v>
      </c>
      <c r="F7" s="2018" t="s">
        <v>0</v>
      </c>
      <c r="G7" s="2047"/>
      <c r="H7" s="2047">
        <f xml:space="preserve"> 'Полотна база'!AG9*(1+скидки_наценки!$B$30)*скидки_наценки!$D$13*скидки_наценки!$F$13/скидки_наценки!$B$4</f>
        <v>25750</v>
      </c>
      <c r="I7" s="2047">
        <f>CEILING( 'Полотна база'!AI9*(1+скидки_наценки!C30)*скидки_наценки!$D$13*скидки_наценки!$F$13/скидки_наценки!$B$4, 50)</f>
        <v>0</v>
      </c>
      <c r="J7" s="2172" t="s">
        <v>3</v>
      </c>
      <c r="K7" s="2047">
        <f>'Полотна база'!AH9*(1+скидки_наценки!B30)*скидки_наценки!$D$13*скидки_наценки!$F$13/скидки_наценки!$B$4</f>
        <v>28500</v>
      </c>
      <c r="N7" s="481"/>
      <c r="O7" s="481"/>
      <c r="P7" s="481"/>
      <c r="Q7" s="481"/>
      <c r="R7" s="481"/>
      <c r="S7" s="481"/>
      <c r="T7" s="481"/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</row>
    <row r="8" spans="1:108" s="9" customFormat="1" ht="24" customHeight="1">
      <c r="A8" s="2885" t="s">
        <v>25</v>
      </c>
      <c r="B8" s="2931" t="s">
        <v>1292</v>
      </c>
      <c r="C8" s="2931"/>
      <c r="D8" s="2045" t="s">
        <v>1953</v>
      </c>
      <c r="E8" s="2020" t="s">
        <v>31</v>
      </c>
      <c r="F8" s="2017" t="s">
        <v>0</v>
      </c>
      <c r="G8" s="2046">
        <f>'Полотна база'!AF10*(1+скидки_наценки!$B$29)*скидки_наценки!$D$13*скидки_наценки!$F$13/скидки_наценки!$B$4</f>
        <v>22190</v>
      </c>
      <c r="H8" s="2046">
        <f>'Полотна база'!AG10*(1+скидки_наценки!$B$29)*скидки_наценки!$D$13*скидки_наценки!$F$13/скидки_наценки!$B$4</f>
        <v>28240</v>
      </c>
      <c r="I8" s="2046">
        <f>'Полотна база'!AI10*(1+скидки_наценки!$B$29)*скидки_наценки!$D$13*скидки_наценки!$F$13/скидки_наценки!$B$4</f>
        <v>25750</v>
      </c>
      <c r="J8" s="2046">
        <f>'Полотна база'!AJ10*(1+скидки_наценки!$B$29)*скидки_наценки!$D$13*скидки_наценки!$F$13/скидки_наценки!$B$4</f>
        <v>25750</v>
      </c>
      <c r="K8" s="2046">
        <f>'Полотна база'!AH10*(1+скидки_наценки!$B$29)*скидки_наценки!$D$13*скидки_наценки!$F$13/скидки_наценки!$B$4</f>
        <v>28650</v>
      </c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</row>
    <row r="9" spans="1:108" s="9" customFormat="1" ht="24" customHeight="1">
      <c r="A9" s="2885"/>
      <c r="B9" s="2932" t="s">
        <v>1288</v>
      </c>
      <c r="C9" s="2932"/>
      <c r="D9" s="2019" t="s">
        <v>1953</v>
      </c>
      <c r="E9" s="2019" t="s">
        <v>31</v>
      </c>
      <c r="F9" s="2018" t="s">
        <v>0</v>
      </c>
      <c r="G9" s="2047">
        <f>'Полотна база'!AF11*(1+скидки_наценки!$B$29)*скидки_наценки!$D$13*скидки_наценки!$F$13/скидки_наценки!$B$4</f>
        <v>23850</v>
      </c>
      <c r="H9" s="2047">
        <f>'Полотна база'!AG11*(1+скидки_наценки!$B$29)*скидки_наценки!$D$13*скидки_наценки!$F$13/скидки_наценки!$B$4</f>
        <v>29900</v>
      </c>
      <c r="I9" s="2047">
        <f>'Полотна база'!AI11*(1+скидки_наценки!$B$29)*скидки_наценки!$D$13*скидки_наценки!$F$13/скидки_наценки!$B$4</f>
        <v>23850</v>
      </c>
      <c r="J9" s="2047">
        <f>'Полотна база'!AJ11*(1+скидки_наценки!$B$29)*скидки_наценки!$D$13*скидки_наценки!$F$13/скидки_наценки!$B$4</f>
        <v>23850</v>
      </c>
      <c r="K9" s="2047">
        <f>'Полотна база'!AH11*(1+скидки_наценки!$B$29)*скидки_наценки!$D$13*скидки_наценки!$F$13/скидки_наценки!$B$4</f>
        <v>30800</v>
      </c>
      <c r="N9" s="481"/>
      <c r="O9" s="481"/>
      <c r="P9" s="481"/>
      <c r="Q9" s="481"/>
      <c r="R9" s="481"/>
      <c r="S9" s="481"/>
      <c r="T9" s="481"/>
      <c r="U9" s="481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</row>
    <row r="10" spans="1:108" s="9" customFormat="1" ht="24" customHeight="1">
      <c r="A10" s="2885"/>
      <c r="B10" s="2931" t="s">
        <v>1294</v>
      </c>
      <c r="C10" s="2931"/>
      <c r="D10" s="2045" t="s">
        <v>1953</v>
      </c>
      <c r="E10" s="2020" t="s">
        <v>31</v>
      </c>
      <c r="F10" s="2017" t="s">
        <v>0</v>
      </c>
      <c r="G10" s="2046">
        <f>'Полотна база'!AF13*(1+скидки_наценки!$B$29)*скидки_наценки!$D$13*скидки_наценки!$F$13/скидки_наценки!$B$4</f>
        <v>26000</v>
      </c>
      <c r="H10" s="2046">
        <f>'Полотна база'!AG13*(1+скидки_наценки!$B$29)*скидки_наценки!$D$13*скидки_наценки!$F$13/скидки_наценки!$B$4</f>
        <v>32050</v>
      </c>
      <c r="I10" s="2046">
        <f>'Полотна база'!AI13*(1+скидки_наценки!$B$29)*скидки_наценки!$D$13*скидки_наценки!$F$13/скидки_наценки!$B$4</f>
        <v>29990</v>
      </c>
      <c r="J10" s="2046">
        <f>'Полотна база'!AJ13*(1+скидки_наценки!$B$29)*скидки_наценки!$D$13*скидки_наценки!$F$13/скидки_наценки!$B$4</f>
        <v>29990</v>
      </c>
      <c r="K10" s="2046">
        <f>'Полотна база'!AH13*(1+скидки_наценки!$B$29)*скидки_наценки!$D$13*скидки_наценки!$F$13/скидки_наценки!$B$4</f>
        <v>33580</v>
      </c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</row>
    <row r="11" spans="1:108" ht="15" customHeight="1">
      <c r="B11" s="809"/>
      <c r="F11" s="120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</row>
    <row r="12" spans="1:108" s="471" customFormat="1" ht="15" customHeight="1">
      <c r="B12" s="809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</row>
    <row r="13" spans="1:108" s="11" customFormat="1" ht="15" customHeight="1">
      <c r="B13" s="53" t="s">
        <v>19</v>
      </c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</row>
    <row r="14" spans="1:108" s="471" customFormat="1" ht="15" customHeight="1">
      <c r="A14" s="3011" t="s">
        <v>2</v>
      </c>
      <c r="B14" s="3012"/>
      <c r="C14" s="3012"/>
      <c r="D14" s="3012"/>
      <c r="E14" s="3012"/>
      <c r="F14" s="3013"/>
      <c r="G14" s="3000" t="str">
        <f>G5</f>
        <v>Strada01</v>
      </c>
      <c r="H14" s="452" t="str">
        <f>H5</f>
        <v>Strada11</v>
      </c>
      <c r="I14" s="452" t="str">
        <f>I5</f>
        <v>Strada14</v>
      </c>
      <c r="J14" s="452" t="str">
        <f>J5</f>
        <v>Strada15</v>
      </c>
      <c r="K14" s="452" t="str">
        <f>K5</f>
        <v xml:space="preserve">Vario11 </v>
      </c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</row>
    <row r="15" spans="1:108" s="471" customFormat="1" ht="15" customHeight="1">
      <c r="A15" s="3014"/>
      <c r="B15" s="3015"/>
      <c r="C15" s="3015"/>
      <c r="D15" s="3015"/>
      <c r="E15" s="3015"/>
      <c r="F15" s="3016"/>
      <c r="G15" s="3001"/>
      <c r="H15" s="52" t="str">
        <f>H6</f>
        <v>Триплекс 4+4 мм, глянец</v>
      </c>
      <c r="I15" s="52" t="str">
        <f>I6</f>
        <v>Триплекс 2+2 мм, глянец</v>
      </c>
      <c r="J15" s="52" t="str">
        <f>J6</f>
        <v>Триплекс 2+2 мм, глянец</v>
      </c>
      <c r="K15" s="52" t="str">
        <f>K6</f>
        <v>Триплекс 4+4 мм</v>
      </c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</row>
    <row r="16" spans="1:108" s="56" customFormat="1" ht="15" customHeight="1">
      <c r="A16" s="2971" t="s">
        <v>47</v>
      </c>
      <c r="B16" s="2972"/>
      <c r="C16" s="2972"/>
      <c r="D16" s="2972"/>
      <c r="E16" s="2972"/>
      <c r="F16" s="2972"/>
      <c r="G16" s="716"/>
      <c r="H16" s="716"/>
      <c r="I16" s="716"/>
      <c r="J16" s="716"/>
      <c r="K16" s="716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</row>
    <row r="17" spans="1:41" s="57" customFormat="1" ht="15" customHeight="1">
      <c r="A17" s="3002" t="s">
        <v>57</v>
      </c>
      <c r="B17" s="3003"/>
      <c r="C17" s="3019" t="s">
        <v>58</v>
      </c>
      <c r="D17" s="3019"/>
      <c r="E17" s="3020" t="s">
        <v>179</v>
      </c>
      <c r="F17" s="3020"/>
      <c r="G17" s="308" t="s">
        <v>1311</v>
      </c>
      <c r="H17" s="308" t="s">
        <v>1311</v>
      </c>
      <c r="I17" s="308" t="s">
        <v>1192</v>
      </c>
      <c r="J17" s="308" t="s">
        <v>1192</v>
      </c>
      <c r="K17" s="308" t="s">
        <v>1311</v>
      </c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</row>
    <row r="18" spans="1:41" s="57" customFormat="1" ht="15" customHeight="1">
      <c r="A18" s="3004"/>
      <c r="B18" s="3005"/>
      <c r="C18" s="3017" t="s">
        <v>59</v>
      </c>
      <c r="D18" s="3017"/>
      <c r="E18" s="3018" t="s">
        <v>179</v>
      </c>
      <c r="F18" s="3018"/>
      <c r="G18" s="307" t="s">
        <v>1311</v>
      </c>
      <c r="H18" s="307" t="s">
        <v>1192</v>
      </c>
      <c r="I18" s="1359"/>
      <c r="J18" s="1359"/>
      <c r="K18" s="307" t="s">
        <v>1192</v>
      </c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</row>
    <row r="19" spans="1:41" s="57" customFormat="1" ht="15" customHeight="1">
      <c r="A19" s="3004"/>
      <c r="B19" s="3005"/>
      <c r="C19" s="3017"/>
      <c r="D19" s="3017"/>
      <c r="E19" s="3018" t="s">
        <v>180</v>
      </c>
      <c r="F19" s="3018"/>
      <c r="G19" s="307" t="s">
        <v>1311</v>
      </c>
      <c r="H19" s="307">
        <f>(Стекла_база!W11-Стекла_база!V11)*(1+скидки_наценки!$B$32)*скидки_наценки!$D$13*скидки_наценки!$F$13/скидки_наценки!$B$4</f>
        <v>530</v>
      </c>
      <c r="I19" s="1359"/>
      <c r="J19" s="1359"/>
      <c r="K19" s="307">
        <f>(Стекла_база!W12-Стекла_база!V12)*(1+скидки_наценки!$B$32)*скидки_наценки!$D$13*скидки_наценки!$F$13/скидки_наценки!$B$4</f>
        <v>500</v>
      </c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</row>
    <row r="20" spans="1:41" s="57" customFormat="1" ht="15" customHeight="1">
      <c r="A20" s="3006"/>
      <c r="B20" s="3007"/>
      <c r="C20" s="3017"/>
      <c r="D20" s="3017"/>
      <c r="E20" s="3018" t="s">
        <v>181</v>
      </c>
      <c r="F20" s="3018"/>
      <c r="G20" s="307" t="s">
        <v>1311</v>
      </c>
      <c r="H20" s="307">
        <f>(Стекла_база!W11-Стекла_база!V11)*(1+скидки_наценки!$B$32)*скидки_наценки!$D$13*скидки_наценки!$F$13/скидки_наценки!$B$4</f>
        <v>530</v>
      </c>
      <c r="I20" s="1359"/>
      <c r="J20" s="1359"/>
      <c r="K20" s="307">
        <f>(Стекла_база!W12-Стекла_база!V12)*(1+скидки_наценки!$B$32)*скидки_наценки!$D$13*скидки_наценки!$F$13/скидки_наценки!$B$4</f>
        <v>500</v>
      </c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</row>
    <row r="21" spans="1:41" s="57" customFormat="1" ht="15" customHeight="1">
      <c r="A21" s="3008" t="s">
        <v>60</v>
      </c>
      <c r="B21" s="3009"/>
      <c r="C21" s="3009"/>
      <c r="D21" s="3009"/>
      <c r="E21" s="3009"/>
      <c r="F21" s="3010"/>
      <c r="G21" s="308" t="s">
        <v>1311</v>
      </c>
      <c r="H21" s="309">
        <f>(Стекла_база!W11-Стекла_база!V11)*(1+скидки_наценки!$B$32)*скидки_наценки!$D$13*скидки_наценки!$F$13/скидки_наценки!$B$4</f>
        <v>530</v>
      </c>
      <c r="I21" s="1377">
        <f>Стекла_база!AA13*(1+скидки_наценки!$B$32)*скидки_наценки!$D$13*скидки_наценки!$F$13/скидки_наценки!$B$4</f>
        <v>450</v>
      </c>
      <c r="J21" s="1358"/>
      <c r="K21" s="1377">
        <f>Стекла_база!AA12*(1+скидки_наценки!$B$32)*скидки_наценки!$D$13*скидки_наценки!$F$13/скидки_наценки!$B$4</f>
        <v>750</v>
      </c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</row>
    <row r="22" spans="1:41" s="57" customFormat="1" ht="15" customHeight="1">
      <c r="A22" s="3008" t="s">
        <v>1509</v>
      </c>
      <c r="B22" s="3009"/>
      <c r="C22" s="3009"/>
      <c r="D22" s="3009"/>
      <c r="E22" s="3009"/>
      <c r="F22" s="3010"/>
      <c r="G22" s="308" t="s">
        <v>1311</v>
      </c>
      <c r="H22" s="1339">
        <f>H21*2</f>
        <v>1060</v>
      </c>
      <c r="I22" s="1341">
        <f>I21*2</f>
        <v>900</v>
      </c>
      <c r="J22" s="1579"/>
      <c r="K22" s="1341">
        <f>K21*2</f>
        <v>1500</v>
      </c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</row>
    <row r="23" spans="1:41" s="57" customFormat="1" ht="15" customHeight="1">
      <c r="A23" s="3008" t="s">
        <v>897</v>
      </c>
      <c r="B23" s="3009"/>
      <c r="C23" s="3009"/>
      <c r="D23" s="3009"/>
      <c r="E23" s="3009"/>
      <c r="F23" s="3010"/>
      <c r="G23" s="308" t="s">
        <v>1311</v>
      </c>
      <c r="H23" s="1377">
        <f>K25</f>
        <v>3000</v>
      </c>
      <c r="I23" s="1358"/>
      <c r="J23" s="1358"/>
      <c r="K23" s="1358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</row>
    <row r="24" spans="1:41" s="57" customFormat="1" ht="15" customHeight="1">
      <c r="A24" s="3008" t="s">
        <v>899</v>
      </c>
      <c r="B24" s="3009"/>
      <c r="C24" s="3009"/>
      <c r="D24" s="3009"/>
      <c r="E24" s="3009"/>
      <c r="F24" s="3010"/>
      <c r="G24" s="308" t="s">
        <v>1311</v>
      </c>
      <c r="H24" s="1377"/>
      <c r="I24" s="1360"/>
      <c r="J24" s="1360"/>
      <c r="K24" s="1377">
        <f>Стекла_база!Y12*(1+скидки_наценки!$B$32)*скидки_наценки!$D$13*скидки_наценки!$F$13/скидки_наценки!$B$4</f>
        <v>2000</v>
      </c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</row>
    <row r="25" spans="1:41" s="57" customFormat="1" ht="15" customHeight="1">
      <c r="A25" s="3008" t="s">
        <v>900</v>
      </c>
      <c r="B25" s="3009"/>
      <c r="C25" s="3009"/>
      <c r="D25" s="3009"/>
      <c r="E25" s="3009"/>
      <c r="F25" s="3010"/>
      <c r="G25" s="308" t="s">
        <v>1311</v>
      </c>
      <c r="H25" s="1360"/>
      <c r="I25" s="1360"/>
      <c r="J25" s="1360"/>
      <c r="K25" s="1377">
        <f>(Стекла_база!Z12)*(1+скидки_наценки!$B$32)*скидки_наценки!$D$13*скидки_наценки!$F$13/скидки_наценки!$B$4</f>
        <v>3000</v>
      </c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</row>
    <row r="26" spans="1:41" s="57" customFormat="1" ht="43.5" customHeight="1">
      <c r="A26" s="3022" t="s">
        <v>49</v>
      </c>
      <c r="B26" s="3023"/>
      <c r="C26" s="3023"/>
      <c r="D26" s="3023"/>
      <c r="E26" s="3023"/>
      <c r="F26" s="3024"/>
      <c r="G26" s="307"/>
      <c r="H26" s="1359"/>
      <c r="I26" s="1359"/>
      <c r="J26" s="1359"/>
      <c r="K26" s="1378">
        <f>Стекла_база!AB12*(1+скидки_наценки!$B$32)*скидки_наценки!$D$13*скидки_наценки!$F$13/скидки_наценки!$B$4</f>
        <v>10000</v>
      </c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481"/>
      <c r="AG26" s="481"/>
      <c r="AH26" s="481"/>
      <c r="AI26" s="481"/>
      <c r="AJ26" s="481"/>
      <c r="AK26" s="481"/>
      <c r="AL26" s="481"/>
      <c r="AM26" s="481"/>
      <c r="AN26" s="481"/>
      <c r="AO26" s="481"/>
    </row>
    <row r="27" spans="1:41" s="56" customFormat="1" ht="15" customHeight="1">
      <c r="A27" s="2971" t="s">
        <v>48</v>
      </c>
      <c r="B27" s="2972"/>
      <c r="C27" s="2972"/>
      <c r="D27" s="2972"/>
      <c r="E27" s="2972"/>
      <c r="F27" s="2972"/>
      <c r="G27" s="716"/>
      <c r="H27" s="716"/>
      <c r="I27" s="716"/>
      <c r="J27" s="716"/>
      <c r="K27" s="716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</row>
    <row r="28" spans="1:41" s="64" customFormat="1" ht="15" customHeight="1">
      <c r="A28" s="3002" t="s">
        <v>898</v>
      </c>
      <c r="B28" s="3025"/>
      <c r="C28" s="3025"/>
      <c r="D28" s="3003"/>
      <c r="E28" s="2899" t="s">
        <v>868</v>
      </c>
      <c r="F28" s="2900"/>
      <c r="G28" s="1354" t="s">
        <v>3</v>
      </c>
      <c r="H28" s="1354"/>
      <c r="I28" s="707" t="s">
        <v>3</v>
      </c>
      <c r="J28" s="1354" t="s">
        <v>3</v>
      </c>
      <c r="K28" s="1354" t="s">
        <v>3</v>
      </c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</row>
    <row r="29" spans="1:41" s="64" customFormat="1" ht="15" customHeight="1">
      <c r="A29" s="3006"/>
      <c r="B29" s="3026"/>
      <c r="C29" s="3026"/>
      <c r="D29" s="3007"/>
      <c r="E29" s="3027" t="s">
        <v>1389</v>
      </c>
      <c r="F29" s="3028"/>
      <c r="G29" s="1355" t="s">
        <v>3</v>
      </c>
      <c r="H29" s="1356"/>
      <c r="I29" s="1355" t="s">
        <v>3</v>
      </c>
      <c r="J29" s="1357" t="s">
        <v>3</v>
      </c>
      <c r="K29" s="1357" t="s">
        <v>3</v>
      </c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</row>
    <row r="30" spans="1:41" s="9" customFormat="1" ht="18" customHeight="1">
      <c r="A30" s="372"/>
      <c r="B30" s="120"/>
      <c r="C30" s="120"/>
      <c r="D30" s="120"/>
      <c r="E30" s="120"/>
      <c r="F30" s="316"/>
      <c r="G30" s="316"/>
      <c r="H30" s="316"/>
      <c r="I30" s="316"/>
      <c r="J30" s="316"/>
      <c r="K30" s="316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</row>
    <row r="31" spans="1:41" s="9" customFormat="1" ht="31.5" customHeight="1">
      <c r="A31" s="120"/>
      <c r="B31" s="17" t="s">
        <v>43</v>
      </c>
      <c r="C31" s="120"/>
      <c r="D31" s="120"/>
      <c r="E31" s="120"/>
      <c r="F31" s="316"/>
      <c r="G31" s="316"/>
      <c r="H31" s="316"/>
      <c r="I31" s="316"/>
      <c r="J31" s="316"/>
      <c r="K31" s="316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</row>
    <row r="32" spans="1:41" ht="18" customHeight="1">
      <c r="F32" s="120"/>
      <c r="G32" s="12"/>
      <c r="H32" s="721" t="s">
        <v>99</v>
      </c>
      <c r="I32" s="22"/>
      <c r="J32" s="22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</row>
    <row r="33" spans="1:41" ht="27" customHeight="1">
      <c r="A33" s="246"/>
      <c r="B33" s="246"/>
      <c r="C33" s="246"/>
      <c r="D33" s="246"/>
      <c r="E33" s="246"/>
      <c r="F33" s="246"/>
      <c r="G33" s="246"/>
      <c r="H33" s="3021" t="s">
        <v>1831</v>
      </c>
      <c r="I33" s="3021"/>
      <c r="J33" s="3021"/>
      <c r="K33" s="246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</row>
    <row r="34" spans="1:41" ht="27" customHeight="1">
      <c r="A34" s="246"/>
      <c r="B34" s="246"/>
      <c r="C34" s="246"/>
      <c r="D34" s="246"/>
      <c r="E34" s="246"/>
      <c r="F34" s="246"/>
      <c r="G34" s="246"/>
      <c r="H34" s="3021"/>
      <c r="I34" s="3021"/>
      <c r="J34" s="3021"/>
      <c r="K34" s="246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</row>
    <row r="35" spans="1:41" ht="18" customHeight="1">
      <c r="B35" s="246"/>
      <c r="C35" s="246"/>
      <c r="D35" s="246"/>
      <c r="F35" s="120"/>
      <c r="H35" s="3021"/>
      <c r="I35" s="3021"/>
      <c r="J35" s="302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</row>
    <row r="36" spans="1:41" ht="15" customHeight="1">
      <c r="A36" s="26"/>
      <c r="B36" s="246"/>
      <c r="C36" s="246"/>
      <c r="D36" s="246"/>
      <c r="E36" s="17"/>
      <c r="F36" s="48"/>
      <c r="G36" s="48"/>
      <c r="H36" s="3021"/>
      <c r="I36" s="3021"/>
      <c r="J36" s="302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</row>
    <row r="37" spans="1:41" s="22" customFormat="1" ht="12" customHeight="1">
      <c r="B37" s="246"/>
      <c r="C37" s="246"/>
      <c r="D37" s="246"/>
      <c r="E37" s="171"/>
      <c r="F37" s="18"/>
      <c r="G37" s="172"/>
      <c r="H37" s="3021"/>
      <c r="I37" s="3021"/>
      <c r="J37" s="3021"/>
      <c r="K37" s="120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</row>
    <row r="38" spans="1:41" s="22" customFormat="1" ht="16.5" customHeight="1">
      <c r="B38" s="246"/>
      <c r="C38" s="246"/>
      <c r="D38" s="246"/>
      <c r="E38" s="178"/>
      <c r="F38" s="18"/>
      <c r="G38" s="178"/>
      <c r="H38" s="1895" t="s">
        <v>1832</v>
      </c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</row>
    <row r="39" spans="1:41" s="22" customFormat="1" ht="12" customHeight="1">
      <c r="B39" s="246"/>
      <c r="C39" s="246"/>
      <c r="D39" s="246"/>
      <c r="E39" s="178"/>
      <c r="F39" s="18"/>
      <c r="G39" s="178"/>
      <c r="H39" s="173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</row>
    <row r="40" spans="1:41" s="22" customFormat="1" ht="12" customHeight="1">
      <c r="B40" s="246"/>
      <c r="C40" s="246"/>
      <c r="D40" s="246"/>
      <c r="E40" s="178"/>
      <c r="F40" s="18"/>
      <c r="G40" s="178"/>
      <c r="H40" s="175"/>
      <c r="I40" s="58"/>
      <c r="J40" s="58"/>
      <c r="K40" s="58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</row>
    <row r="41" spans="1:41" s="22" customFormat="1" ht="12" customHeight="1">
      <c r="B41" s="246"/>
      <c r="C41" s="246"/>
      <c r="D41" s="246"/>
      <c r="E41" s="178"/>
      <c r="F41" s="18"/>
      <c r="G41" s="178"/>
      <c r="H41" s="17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</row>
    <row r="42" spans="1:41" s="22" customFormat="1" ht="12" customHeight="1">
      <c r="B42" s="246"/>
      <c r="C42" s="246"/>
      <c r="D42" s="246"/>
      <c r="E42" s="178"/>
      <c r="F42" s="18"/>
      <c r="G42" s="178"/>
      <c r="H42" s="17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</row>
    <row r="43" spans="1:41" s="22" customFormat="1" ht="12" customHeight="1">
      <c r="B43" s="175"/>
      <c r="C43" s="178"/>
      <c r="D43" s="178"/>
      <c r="E43" s="178"/>
      <c r="F43" s="18"/>
      <c r="G43" s="178"/>
      <c r="H43" s="17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</row>
    <row r="44" spans="1:41" s="22" customFormat="1" ht="18" customHeight="1">
      <c r="B44" s="175"/>
      <c r="C44" s="47"/>
      <c r="D44" s="47"/>
      <c r="E44" s="47"/>
      <c r="G44" s="47"/>
      <c r="H44" s="38"/>
      <c r="I44" s="58"/>
      <c r="J44" s="58"/>
      <c r="K44" s="58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481"/>
      <c r="AO44" s="481"/>
    </row>
    <row r="45" spans="1:41" s="22" customFormat="1" ht="18" customHeight="1">
      <c r="B45" s="175"/>
      <c r="C45" s="47"/>
      <c r="D45" s="47"/>
      <c r="E45" s="47"/>
      <c r="G45" s="47"/>
      <c r="H45" s="38"/>
      <c r="I45" s="58"/>
      <c r="J45" s="58"/>
      <c r="K45" s="58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</row>
    <row r="46" spans="1:41" s="22" customFormat="1" ht="18" customHeight="1">
      <c r="B46" s="175"/>
      <c r="C46" s="47"/>
      <c r="D46" s="47"/>
      <c r="E46" s="47"/>
      <c r="G46" s="47"/>
      <c r="H46" s="38"/>
      <c r="I46" s="58"/>
      <c r="J46" s="58"/>
      <c r="K46" s="58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</row>
    <row r="47" spans="1:41" ht="17.25" customHeight="1"/>
    <row r="48" spans="1:41" ht="17.25" customHeight="1"/>
    <row r="52" ht="32.25" customHeight="1"/>
    <row r="58" ht="15" customHeight="1"/>
  </sheetData>
  <mergeCells count="31">
    <mergeCell ref="H33:J37"/>
    <mergeCell ref="A24:F24"/>
    <mergeCell ref="A27:F27"/>
    <mergeCell ref="A23:F23"/>
    <mergeCell ref="A25:F25"/>
    <mergeCell ref="A26:F26"/>
    <mergeCell ref="A28:D29"/>
    <mergeCell ref="E28:F28"/>
    <mergeCell ref="E29:F29"/>
    <mergeCell ref="A22:F22"/>
    <mergeCell ref="A8:A10"/>
    <mergeCell ref="B10:C10"/>
    <mergeCell ref="B9:C9"/>
    <mergeCell ref="A7:C7"/>
    <mergeCell ref="A16:F16"/>
    <mergeCell ref="E20:F20"/>
    <mergeCell ref="E19:F19"/>
    <mergeCell ref="B8:C8"/>
    <mergeCell ref="G5:G6"/>
    <mergeCell ref="G14:G15"/>
    <mergeCell ref="F5:F6"/>
    <mergeCell ref="A17:B20"/>
    <mergeCell ref="A21:F21"/>
    <mergeCell ref="A14:F15"/>
    <mergeCell ref="C18:D20"/>
    <mergeCell ref="E18:F18"/>
    <mergeCell ref="C17:D17"/>
    <mergeCell ref="E17:F17"/>
    <mergeCell ref="A5:C6"/>
    <mergeCell ref="D5:D6"/>
    <mergeCell ref="E5:E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5" firstPageNumber="28" orientation="landscape" useFirstPageNumber="1" r:id="rId1"/>
  <headerFooter>
    <oddFooter>&amp;L&amp;P&amp;R&amp;G</oddFooter>
  </headerFooter>
  <rowBreaks count="1" manualBreakCount="1">
    <brk id="12" max="10" man="1"/>
  </row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FB101"/>
  <sheetViews>
    <sheetView view="pageBreakPreview" zoomScale="80" zoomScaleNormal="7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H21" sqref="H21"/>
    </sheetView>
  </sheetViews>
  <sheetFormatPr defaultColWidth="8.85546875" defaultRowHeight="15"/>
  <cols>
    <col min="1" max="1" width="4.7109375" style="471" customWidth="1"/>
    <col min="2" max="5" width="11.7109375" style="471" customWidth="1"/>
    <col min="6" max="6" width="16" style="2" customWidth="1"/>
    <col min="7" max="9" width="24.7109375" style="471" customWidth="1"/>
    <col min="10" max="10" width="22.140625" style="471" customWidth="1"/>
    <col min="11" max="12" width="15.7109375" style="471" hidden="1" customWidth="1"/>
    <col min="13" max="13" width="24.7109375" style="471" customWidth="1"/>
    <col min="14" max="14" width="20.7109375" style="471" customWidth="1"/>
    <col min="15" max="16384" width="8.85546875" style="471"/>
  </cols>
  <sheetData>
    <row r="1" spans="1:25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780"/>
      <c r="M1" s="24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</row>
    <row r="2" spans="1:25" ht="22.5" customHeight="1">
      <c r="A2" s="5"/>
      <c r="B2" s="775"/>
      <c r="C2" s="775"/>
      <c r="D2" s="775"/>
      <c r="E2" s="775"/>
      <c r="F2" s="423"/>
      <c r="G2" s="13"/>
      <c r="H2" s="13"/>
      <c r="I2" s="13"/>
      <c r="J2" s="13"/>
      <c r="K2" s="13"/>
      <c r="L2" s="13"/>
      <c r="M2" s="13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</row>
    <row r="3" spans="1:25" ht="90" customHeight="1">
      <c r="A3" s="7"/>
      <c r="B3" s="752"/>
      <c r="C3" s="752"/>
      <c r="D3" s="2193"/>
      <c r="E3" s="2193"/>
      <c r="F3" s="8"/>
      <c r="G3" s="211"/>
      <c r="H3" s="211"/>
      <c r="I3" s="211"/>
      <c r="J3" s="381"/>
      <c r="K3" s="381"/>
      <c r="L3" s="669"/>
      <c r="M3" s="669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</row>
    <row r="4" spans="1:25">
      <c r="A4" s="775"/>
      <c r="B4" s="17" t="s">
        <v>54</v>
      </c>
      <c r="C4" s="17"/>
      <c r="D4" s="775"/>
      <c r="E4" s="775"/>
      <c r="F4" s="6"/>
      <c r="G4" s="13"/>
      <c r="H4" s="13"/>
      <c r="I4" s="13"/>
      <c r="J4" s="13"/>
      <c r="K4" s="13"/>
      <c r="L4" s="13"/>
      <c r="M4" s="13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</row>
    <row r="5" spans="1:25" ht="30" customHeight="1">
      <c r="A5" s="3029" t="s">
        <v>1</v>
      </c>
      <c r="B5" s="3030"/>
      <c r="C5" s="3031"/>
      <c r="D5" s="1118" t="s">
        <v>39</v>
      </c>
      <c r="E5" s="1118" t="s">
        <v>38</v>
      </c>
      <c r="F5" s="1118" t="s">
        <v>34</v>
      </c>
      <c r="G5" s="1990" t="s">
        <v>1713</v>
      </c>
      <c r="H5" s="1119" t="s">
        <v>1714</v>
      </c>
      <c r="I5" s="1114" t="s">
        <v>1715</v>
      </c>
      <c r="J5" s="1670" t="s">
        <v>1716</v>
      </c>
      <c r="K5" s="1697"/>
      <c r="L5" s="1698"/>
      <c r="M5" s="1624" t="s">
        <v>4</v>
      </c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</row>
    <row r="6" spans="1:25" s="775" customFormat="1" ht="30" customHeight="1">
      <c r="A6" s="2997" t="s">
        <v>28</v>
      </c>
      <c r="B6" s="2932" t="s">
        <v>207</v>
      </c>
      <c r="C6" s="2932"/>
      <c r="D6" s="2019" t="s">
        <v>1953</v>
      </c>
      <c r="E6" s="2019" t="s">
        <v>31</v>
      </c>
      <c r="F6" s="2018" t="s">
        <v>0</v>
      </c>
      <c r="G6" s="2047">
        <f>'Полотна база'!S9*(1+скидки_наценки!$B$30)*скидки_наценки!$D$11*скидки_наценки!$F$11/скидки_наценки!$B$4</f>
        <v>20050</v>
      </c>
      <c r="H6" s="2047">
        <f>'Полотна база'!S9*(1+скидки_наценки!$B$30)*скидки_наценки!$D$11*скидки_наценки!$F$11/скидки_наценки!$B$4</f>
        <v>20050</v>
      </c>
      <c r="I6" s="2047">
        <f>'Полотна база'!S9*(1+скидки_наценки!$B$30)*скидки_наценки!$D$11*скидки_наценки!$F$11/скидки_наценки!$B$4</f>
        <v>20050</v>
      </c>
      <c r="J6" s="2057">
        <f>'Полотна база'!S9*(1+скидки_наценки!$B$30)*скидки_наценки!$D$11*скидки_наценки!$F$11/скидки_наценки!$B$4</f>
        <v>20050</v>
      </c>
      <c r="K6" s="2055"/>
      <c r="L6" s="1695"/>
      <c r="M6" s="13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</row>
    <row r="7" spans="1:25" s="361" customFormat="1" ht="30" customHeight="1">
      <c r="A7" s="2997"/>
      <c r="B7" s="2998" t="s">
        <v>1435</v>
      </c>
      <c r="C7" s="2998"/>
      <c r="D7" s="2045" t="s">
        <v>1953</v>
      </c>
      <c r="E7" s="2020" t="s">
        <v>31</v>
      </c>
      <c r="F7" s="2017" t="s">
        <v>0</v>
      </c>
      <c r="G7" s="2046">
        <f>'Полотна база'!S13*(1+скидки_наценки!$B$30)*скидки_наценки!$D$11*скидки_наценки!$F$11/скидки_наценки!$B$4</f>
        <v>27300</v>
      </c>
      <c r="H7" s="2046">
        <f>'Полотна база'!S13*(1+скидки_наценки!$B$30)*скидки_наценки!$D$11*скидки_наценки!$F$11/скидки_наценки!$B$4</f>
        <v>27300</v>
      </c>
      <c r="I7" s="2046">
        <f>'Полотна база'!S13*(1+скидки_наценки!$B$30)*скидки_наценки!$D$11*скидки_наценки!$F$11/скидки_наценки!$B$4</f>
        <v>27300</v>
      </c>
      <c r="J7" s="2058">
        <f>'Полотна база'!S13*(1+скидки_наценки!$B$30)*скидки_наценки!$D$11*скидки_наценки!$F$11/скидки_наценки!$B$4</f>
        <v>27300</v>
      </c>
      <c r="K7" s="2056"/>
      <c r="L7" s="1696"/>
      <c r="M7" s="359"/>
      <c r="N7" s="476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</row>
    <row r="8" spans="1:25" ht="25.5" customHeight="1">
      <c r="B8" s="3035" t="s">
        <v>4</v>
      </c>
      <c r="C8" s="3035"/>
      <c r="D8" s="3035"/>
      <c r="E8" s="3035"/>
      <c r="F8" s="3035"/>
      <c r="G8" s="669"/>
      <c r="H8" s="669"/>
      <c r="I8" s="669"/>
      <c r="J8" s="669"/>
      <c r="K8" s="669"/>
      <c r="L8" s="669"/>
      <c r="M8" s="669"/>
    </row>
    <row r="9" spans="1:25" ht="71.25" customHeight="1">
      <c r="B9" s="11"/>
      <c r="C9" s="11"/>
      <c r="E9" s="669"/>
      <c r="F9" s="669"/>
      <c r="G9" s="669"/>
      <c r="H9" s="669"/>
      <c r="I9" s="669"/>
      <c r="J9" s="669"/>
      <c r="K9" s="341"/>
      <c r="L9" s="341"/>
      <c r="M9" s="341"/>
    </row>
    <row r="10" spans="1:25" ht="18.75" customHeight="1">
      <c r="A10" s="775"/>
      <c r="B10" s="17" t="s">
        <v>24</v>
      </c>
      <c r="C10" s="17"/>
      <c r="D10" s="775"/>
      <c r="E10" s="775"/>
      <c r="F10" s="13"/>
      <c r="G10" s="423"/>
      <c r="H10" s="13"/>
      <c r="I10" s="13"/>
      <c r="J10" s="13"/>
      <c r="K10" s="669"/>
      <c r="L10" s="669"/>
      <c r="M10" s="669"/>
    </row>
    <row r="11" spans="1:25">
      <c r="A11" s="2881" t="s">
        <v>36</v>
      </c>
      <c r="B11" s="2883"/>
      <c r="C11" s="2881" t="s">
        <v>33</v>
      </c>
      <c r="D11" s="2883"/>
      <c r="E11" s="2988" t="s">
        <v>37</v>
      </c>
      <c r="F11" s="2988" t="s">
        <v>35</v>
      </c>
      <c r="G11" s="1115" t="str">
        <f>G5</f>
        <v xml:space="preserve">Plainе1 </v>
      </c>
      <c r="H11" s="1115" t="str">
        <f>H5</f>
        <v>Plainе2</v>
      </c>
      <c r="I11" s="1115" t="str">
        <f>I5</f>
        <v xml:space="preserve"> Plainе3</v>
      </c>
      <c r="J11" s="1115" t="str">
        <f>J5</f>
        <v xml:space="preserve"> Plainе4</v>
      </c>
      <c r="K11" s="1115" t="str">
        <f>J11</f>
        <v xml:space="preserve"> Plainе4</v>
      </c>
      <c r="L11" s="1115" t="str">
        <f>J11</f>
        <v xml:space="preserve"> Plainе4</v>
      </c>
      <c r="M11" s="341"/>
    </row>
    <row r="12" spans="1:25">
      <c r="A12" s="3032"/>
      <c r="B12" s="3033"/>
      <c r="C12" s="3032"/>
      <c r="D12" s="3033"/>
      <c r="E12" s="3034"/>
      <c r="F12" s="3034"/>
      <c r="G12" s="1116" t="s">
        <v>21</v>
      </c>
      <c r="H12" s="1116" t="s">
        <v>21</v>
      </c>
      <c r="I12" s="1116" t="s">
        <v>21</v>
      </c>
      <c r="J12" s="1116" t="s">
        <v>21</v>
      </c>
      <c r="K12" s="1116" t="s">
        <v>22</v>
      </c>
      <c r="L12" s="1116" t="s">
        <v>1066</v>
      </c>
      <c r="M12" s="669"/>
    </row>
    <row r="13" spans="1:25" s="126" customFormat="1">
      <c r="A13" s="2946"/>
      <c r="B13" s="2948"/>
      <c r="C13" s="2946"/>
      <c r="D13" s="2948"/>
      <c r="E13" s="2989"/>
      <c r="F13" s="2989"/>
      <c r="G13" s="1117" t="s">
        <v>176</v>
      </c>
      <c r="H13" s="1117" t="s">
        <v>176</v>
      </c>
      <c r="I13" s="1117" t="s">
        <v>176</v>
      </c>
      <c r="J13" s="1117" t="s">
        <v>176</v>
      </c>
      <c r="K13" s="1117" t="s">
        <v>176</v>
      </c>
      <c r="L13" s="1117" t="s">
        <v>176</v>
      </c>
      <c r="M13" s="341"/>
    </row>
    <row r="14" spans="1:25" s="303" customFormat="1" ht="15" customHeight="1">
      <c r="A14" s="3036" t="s">
        <v>30</v>
      </c>
      <c r="B14" s="3037"/>
      <c r="C14" s="3042" t="s">
        <v>29</v>
      </c>
      <c r="D14" s="3043"/>
      <c r="E14" s="116" t="s">
        <v>170</v>
      </c>
      <c r="F14" s="42" t="s">
        <v>3</v>
      </c>
      <c r="G14" s="728">
        <f>Fusion!G15</f>
        <v>1600</v>
      </c>
      <c r="H14" s="728">
        <f>Fusion!H15</f>
        <v>1050</v>
      </c>
      <c r="I14" s="728">
        <f>Fusion!J15</f>
        <v>1100</v>
      </c>
      <c r="J14" s="728">
        <f>I14</f>
        <v>1100</v>
      </c>
      <c r="K14" s="728">
        <f>CEILING(J14*0.7, 50)</f>
        <v>800</v>
      </c>
      <c r="L14" s="728">
        <f>CEILING(J14*0.3, 50)</f>
        <v>350</v>
      </c>
      <c r="M14" s="669"/>
      <c r="N14" s="322"/>
    </row>
    <row r="15" spans="1:25" s="303" customFormat="1" ht="24" customHeight="1">
      <c r="A15" s="3038"/>
      <c r="B15" s="3039"/>
      <c r="C15" s="2917" t="s">
        <v>164</v>
      </c>
      <c r="D15" s="2918"/>
      <c r="E15" s="170" t="s">
        <v>171</v>
      </c>
      <c r="F15" s="1109" t="s">
        <v>3</v>
      </c>
      <c r="G15" s="312">
        <f>Fusion!G16</f>
        <v>2080</v>
      </c>
      <c r="H15" s="312">
        <f>Fusion!H16</f>
        <v>1365</v>
      </c>
      <c r="I15" s="312">
        <f>Fusion!J16</f>
        <v>1430</v>
      </c>
      <c r="J15" s="312">
        <f>I15</f>
        <v>1430</v>
      </c>
      <c r="K15" s="312">
        <f>CEILING(J15*0.7, 50)</f>
        <v>1050</v>
      </c>
      <c r="L15" s="312">
        <f t="shared" ref="L15:L21" si="0">CEILING(J15*0.3, 50)</f>
        <v>450</v>
      </c>
      <c r="M15" s="341"/>
      <c r="N15" s="322"/>
    </row>
    <row r="16" spans="1:25" s="303" customFormat="1" ht="24" customHeight="1">
      <c r="A16" s="3040"/>
      <c r="B16" s="3041"/>
      <c r="C16" s="3006" t="s">
        <v>165</v>
      </c>
      <c r="D16" s="3007"/>
      <c r="E16" s="682" t="s">
        <v>171</v>
      </c>
      <c r="F16" s="774" t="s">
        <v>3</v>
      </c>
      <c r="G16" s="277">
        <f>Fusion!G17</f>
        <v>2640</v>
      </c>
      <c r="H16" s="277">
        <f>Fusion!H17</f>
        <v>1735</v>
      </c>
      <c r="I16" s="277">
        <f>Fusion!J17</f>
        <v>1815</v>
      </c>
      <c r="J16" s="277">
        <f>I16</f>
        <v>1815</v>
      </c>
      <c r="K16" s="277">
        <f>CEILING(J16*0.7, 50)</f>
        <v>1300</v>
      </c>
      <c r="L16" s="277">
        <f t="shared" si="0"/>
        <v>550</v>
      </c>
      <c r="M16" s="669"/>
      <c r="N16" s="322"/>
    </row>
    <row r="17" spans="1:14" s="303" customFormat="1" ht="24" customHeight="1">
      <c r="A17" s="3044" t="s">
        <v>183</v>
      </c>
      <c r="B17" s="3045"/>
      <c r="C17" s="3046" t="s">
        <v>200</v>
      </c>
      <c r="D17" s="3047"/>
      <c r="E17" s="1189" t="s">
        <v>171</v>
      </c>
      <c r="F17" s="164" t="s">
        <v>3</v>
      </c>
      <c r="G17" s="311">
        <f>Fusion!G18</f>
        <v>2290</v>
      </c>
      <c r="H17" s="311">
        <f>Fusion!H18</f>
        <v>1505</v>
      </c>
      <c r="I17" s="311">
        <f>Fusion!J18</f>
        <v>1575</v>
      </c>
      <c r="J17" s="311">
        <f>I17</f>
        <v>1575</v>
      </c>
      <c r="K17" s="311">
        <f>CEILING(J17*0.7, 50)</f>
        <v>1150</v>
      </c>
      <c r="L17" s="311">
        <f t="shared" si="0"/>
        <v>500</v>
      </c>
      <c r="M17" s="341"/>
      <c r="N17" s="322"/>
    </row>
    <row r="18" spans="1:14" s="65" customFormat="1" ht="50.25" customHeight="1">
      <c r="A18" s="3049" t="s">
        <v>169</v>
      </c>
      <c r="B18" s="3050"/>
      <c r="C18" s="3051" t="s">
        <v>891</v>
      </c>
      <c r="D18" s="3052"/>
      <c r="E18" s="682" t="s">
        <v>171</v>
      </c>
      <c r="F18" s="349" t="s">
        <v>886</v>
      </c>
      <c r="G18" s="310">
        <f>Fusion!G19</f>
        <v>2710</v>
      </c>
      <c r="H18" s="310">
        <f>Fusion!H19</f>
        <v>1775</v>
      </c>
      <c r="I18" s="310">
        <f>Fusion!J19</f>
        <v>1860</v>
      </c>
      <c r="J18" s="310">
        <f>I18</f>
        <v>1860</v>
      </c>
      <c r="K18" s="310">
        <f>CEILING(J18*0.7, 50)</f>
        <v>1350</v>
      </c>
      <c r="L18" s="310">
        <f t="shared" si="0"/>
        <v>600</v>
      </c>
      <c r="M18" s="669"/>
      <c r="N18" s="322"/>
    </row>
    <row r="19" spans="1:14" s="60" customFormat="1" ht="15" customHeight="1">
      <c r="A19" s="802" t="s">
        <v>172</v>
      </c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669"/>
      <c r="N19" s="322"/>
    </row>
    <row r="20" spans="1:14" s="20" customFormat="1" ht="24" customHeight="1">
      <c r="A20" s="3053" t="s">
        <v>178</v>
      </c>
      <c r="B20" s="3053"/>
      <c r="C20" s="3053" t="s">
        <v>304</v>
      </c>
      <c r="D20" s="3053"/>
      <c r="E20" s="3053"/>
      <c r="F20" s="3053"/>
      <c r="G20" s="279">
        <f>Fusion!G21</f>
        <v>750</v>
      </c>
      <c r="H20" s="279">
        <f>Fusion!H21</f>
        <v>550</v>
      </c>
      <c r="I20" s="279">
        <f>Fusion!J21</f>
        <v>550</v>
      </c>
      <c r="J20" s="279">
        <f>I20</f>
        <v>550</v>
      </c>
      <c r="K20" s="279">
        <f>CEILING(J20*0.7, 50)</f>
        <v>400</v>
      </c>
      <c r="L20" s="279">
        <f t="shared" si="0"/>
        <v>200</v>
      </c>
      <c r="M20" s="669"/>
      <c r="N20" s="322"/>
    </row>
    <row r="21" spans="1:14" s="20" customFormat="1" ht="41.25" customHeight="1">
      <c r="A21" s="3054" t="s">
        <v>234</v>
      </c>
      <c r="B21" s="3055"/>
      <c r="C21" s="3056" t="s">
        <v>305</v>
      </c>
      <c r="D21" s="3056"/>
      <c r="E21" s="3056"/>
      <c r="F21" s="3056"/>
      <c r="G21" s="297">
        <f>Fusion!G22</f>
        <v>730</v>
      </c>
      <c r="H21" s="297">
        <f>Fusion!H22</f>
        <v>520</v>
      </c>
      <c r="I21" s="297">
        <f>Fusion!J22</f>
        <v>520</v>
      </c>
      <c r="J21" s="297">
        <f>I21</f>
        <v>520</v>
      </c>
      <c r="K21" s="297">
        <f>CEILING(J21*0.7, 50)</f>
        <v>400</v>
      </c>
      <c r="L21" s="297">
        <f t="shared" si="0"/>
        <v>200</v>
      </c>
      <c r="M21" s="669"/>
      <c r="N21" s="322"/>
    </row>
    <row r="22" spans="1:14" ht="18" customHeight="1">
      <c r="F22" s="471"/>
      <c r="N22" s="322"/>
    </row>
    <row r="23" spans="1:14" ht="18" customHeight="1">
      <c r="F23" s="471"/>
      <c r="G23" s="1205"/>
      <c r="J23" s="304"/>
      <c r="L23" s="304"/>
      <c r="N23" s="322"/>
    </row>
    <row r="24" spans="1:14" ht="15" customHeight="1">
      <c r="A24" s="775"/>
      <c r="B24" s="1"/>
      <c r="C24" s="1"/>
      <c r="D24" s="775"/>
      <c r="E24" s="775"/>
      <c r="F24" s="6"/>
      <c r="G24" s="775"/>
      <c r="H24" s="775"/>
      <c r="L24" s="775"/>
      <c r="M24" s="775"/>
      <c r="N24" s="322"/>
    </row>
    <row r="25" spans="1:14" ht="18" customHeight="1">
      <c r="A25" s="775"/>
      <c r="B25" s="20"/>
      <c r="C25" s="20"/>
      <c r="D25" s="775"/>
      <c r="E25" s="775"/>
      <c r="F25" s="6"/>
      <c r="G25" s="775"/>
      <c r="H25" s="775"/>
      <c r="I25" s="775"/>
      <c r="J25" s="775"/>
      <c r="K25" s="775"/>
      <c r="L25" s="775"/>
      <c r="M25" s="775"/>
    </row>
    <row r="26" spans="1:14" ht="18" customHeight="1">
      <c r="A26" s="775"/>
      <c r="C26" s="44"/>
      <c r="D26" s="44"/>
      <c r="E26" s="44"/>
      <c r="F26" s="6"/>
      <c r="G26" s="775"/>
      <c r="H26" s="775"/>
      <c r="I26" s="775"/>
      <c r="J26" s="775"/>
      <c r="K26" s="775"/>
      <c r="L26" s="775"/>
      <c r="M26" s="775"/>
    </row>
    <row r="27" spans="1:14" ht="18" customHeight="1">
      <c r="A27" s="775"/>
      <c r="B27" s="44"/>
      <c r="C27" s="44"/>
      <c r="D27" s="44"/>
      <c r="E27" s="44"/>
      <c r="F27" s="6"/>
      <c r="G27" s="775"/>
      <c r="H27" s="775"/>
      <c r="I27" s="775"/>
      <c r="J27" s="775"/>
      <c r="K27" s="775"/>
      <c r="L27" s="775"/>
      <c r="M27" s="775"/>
    </row>
    <row r="28" spans="1:14" ht="18" customHeight="1">
      <c r="A28" s="775"/>
      <c r="B28" s="44"/>
      <c r="C28" s="44"/>
      <c r="D28" s="44"/>
      <c r="E28" s="44"/>
      <c r="F28" s="6"/>
      <c r="G28" s="775"/>
      <c r="H28" s="775"/>
      <c r="I28" s="775"/>
      <c r="J28" s="775"/>
      <c r="K28" s="775"/>
      <c r="L28" s="775"/>
      <c r="M28" s="775"/>
    </row>
    <row r="29" spans="1:14" ht="18" customHeight="1">
      <c r="A29" s="775"/>
      <c r="B29" s="44"/>
      <c r="C29" s="44"/>
      <c r="D29" s="44"/>
      <c r="E29" s="44"/>
      <c r="F29" s="6"/>
      <c r="G29" s="775"/>
      <c r="H29" s="775"/>
      <c r="I29" s="775"/>
      <c r="J29" s="775"/>
      <c r="K29" s="775"/>
      <c r="L29" s="775"/>
      <c r="M29" s="775"/>
    </row>
    <row r="30" spans="1:14" ht="18" customHeight="1">
      <c r="A30" s="775"/>
      <c r="B30" s="20"/>
      <c r="C30" s="20"/>
      <c r="D30" s="775"/>
      <c r="E30" s="775"/>
      <c r="F30" s="6"/>
      <c r="G30" s="775"/>
      <c r="H30" s="775"/>
      <c r="I30" s="775"/>
      <c r="J30" s="775"/>
      <c r="K30" s="775"/>
      <c r="L30" s="775"/>
      <c r="M30" s="775"/>
    </row>
    <row r="31" spans="1:14" ht="18" customHeight="1">
      <c r="A31" s="775"/>
      <c r="B31" s="20"/>
      <c r="C31" s="20"/>
      <c r="D31" s="775"/>
      <c r="E31" s="775"/>
      <c r="F31" s="6"/>
      <c r="G31" s="775"/>
      <c r="H31" s="775"/>
      <c r="I31" s="775"/>
      <c r="J31" s="775"/>
      <c r="K31" s="775"/>
      <c r="L31" s="775"/>
      <c r="M31" s="775"/>
    </row>
    <row r="32" spans="1:14" ht="18" customHeight="1">
      <c r="A32" s="775"/>
      <c r="B32" s="20"/>
      <c r="C32" s="20"/>
      <c r="D32" s="775"/>
      <c r="E32" s="775"/>
      <c r="F32" s="6"/>
      <c r="G32" s="775"/>
      <c r="H32" s="775"/>
      <c r="I32" s="775"/>
      <c r="J32" s="775"/>
      <c r="K32" s="775"/>
      <c r="L32" s="775"/>
      <c r="M32" s="775"/>
    </row>
    <row r="33" spans="1:158" ht="18" customHeight="1">
      <c r="A33" s="775"/>
      <c r="B33" s="20"/>
      <c r="C33" s="20"/>
      <c r="D33" s="775"/>
      <c r="E33" s="775"/>
      <c r="F33" s="6"/>
      <c r="G33" s="775"/>
      <c r="H33" s="775"/>
      <c r="I33" s="775"/>
      <c r="J33" s="775"/>
      <c r="K33" s="775"/>
      <c r="L33" s="775"/>
      <c r="M33" s="775"/>
    </row>
    <row r="34" spans="1:158" ht="18" customHeight="1">
      <c r="A34" s="775"/>
      <c r="B34" s="20"/>
      <c r="C34" s="20"/>
      <c r="D34" s="775"/>
      <c r="E34" s="775"/>
      <c r="F34" s="6"/>
      <c r="G34" s="775"/>
      <c r="H34" s="775"/>
      <c r="I34" s="775"/>
      <c r="J34" s="775"/>
      <c r="K34" s="775"/>
      <c r="L34" s="775"/>
      <c r="M34" s="775"/>
    </row>
    <row r="35" spans="1:158" ht="18" customHeight="1">
      <c r="A35" s="775"/>
      <c r="B35" s="20"/>
      <c r="C35" s="20"/>
      <c r="D35" s="775"/>
      <c r="E35" s="775"/>
      <c r="F35" s="6"/>
      <c r="G35" s="775"/>
      <c r="H35" s="775"/>
      <c r="I35" s="775"/>
      <c r="J35" s="775"/>
      <c r="K35" s="775"/>
      <c r="L35" s="775"/>
      <c r="M35" s="775"/>
    </row>
    <row r="36" spans="1:158" ht="18" customHeight="1">
      <c r="A36" s="775"/>
      <c r="B36" s="294"/>
      <c r="C36" s="44"/>
      <c r="D36" s="44"/>
      <c r="E36" s="775"/>
      <c r="F36" s="6"/>
      <c r="G36" s="775"/>
      <c r="H36" s="775"/>
      <c r="I36" s="775"/>
      <c r="J36" s="775"/>
    </row>
    <row r="37" spans="1:158" ht="18" customHeight="1">
      <c r="A37" s="775"/>
      <c r="C37" s="44"/>
      <c r="D37" s="44"/>
      <c r="E37" s="775"/>
      <c r="F37" s="6"/>
      <c r="G37" s="775"/>
      <c r="H37" s="775"/>
      <c r="I37" s="775"/>
      <c r="J37" s="775"/>
    </row>
    <row r="38" spans="1:158" ht="18" customHeight="1">
      <c r="A38" s="775"/>
      <c r="B38" s="3048"/>
      <c r="C38" s="3048"/>
      <c r="D38" s="3048"/>
      <c r="E38" s="775"/>
      <c r="F38" s="6"/>
      <c r="G38" s="775"/>
      <c r="H38" s="775"/>
      <c r="I38" s="775"/>
      <c r="J38" s="775"/>
    </row>
    <row r="39" spans="1:158" ht="18" customHeight="1">
      <c r="B39" s="3048"/>
      <c r="C39" s="3048"/>
      <c r="D39" s="3048"/>
    </row>
    <row r="40" spans="1:158" ht="18" customHeight="1">
      <c r="B40" s="3048"/>
      <c r="C40" s="3048"/>
      <c r="D40" s="3048"/>
    </row>
    <row r="41" spans="1:158" ht="18" customHeight="1">
      <c r="B41" s="3048"/>
      <c r="C41" s="3048"/>
      <c r="D41" s="3048"/>
    </row>
    <row r="42" spans="1:158" ht="18" customHeight="1">
      <c r="L42" s="44"/>
      <c r="M42" s="44"/>
    </row>
    <row r="43" spans="1:158" ht="18" customHeight="1">
      <c r="L43" s="44"/>
      <c r="M43" s="44"/>
    </row>
    <row r="44" spans="1:158" ht="18" customHeight="1"/>
    <row r="45" spans="1:158" ht="18" customHeight="1"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211"/>
      <c r="EP45" s="211"/>
      <c r="EQ45" s="211"/>
      <c r="ER45" s="211"/>
      <c r="ES45" s="211"/>
      <c r="ET45" s="211"/>
      <c r="EU45" s="211"/>
      <c r="EV45" s="211"/>
      <c r="EW45" s="211"/>
      <c r="EX45" s="211"/>
      <c r="EY45" s="211"/>
      <c r="EZ45" s="211"/>
      <c r="FA45" s="211"/>
      <c r="FB45" s="211"/>
    </row>
    <row r="46" spans="1:158" ht="18" customHeight="1">
      <c r="DZ46" s="211"/>
      <c r="EA46" s="211"/>
      <c r="EB46" s="211"/>
      <c r="EC46" s="211"/>
      <c r="ED46" s="211"/>
      <c r="EE46" s="211"/>
      <c r="EF46" s="211"/>
      <c r="EG46" s="211"/>
      <c r="EH46" s="211"/>
      <c r="EI46" s="211"/>
      <c r="EJ46" s="211"/>
      <c r="EK46" s="211"/>
      <c r="EL46" s="211"/>
      <c r="EM46" s="211"/>
      <c r="EN46" s="211"/>
      <c r="EO46" s="211"/>
      <c r="EP46" s="211"/>
      <c r="EQ46" s="211"/>
      <c r="ER46" s="211"/>
      <c r="ES46" s="211"/>
      <c r="ET46" s="211"/>
      <c r="EU46" s="211"/>
      <c r="EV46" s="211"/>
      <c r="EW46" s="211"/>
      <c r="EX46" s="211"/>
      <c r="EY46" s="211"/>
      <c r="EZ46" s="211"/>
      <c r="FA46" s="211"/>
      <c r="FB46" s="211"/>
    </row>
    <row r="47" spans="1:158" ht="18" customHeight="1">
      <c r="DZ47" s="211"/>
      <c r="EA47" s="211"/>
      <c r="EB47" s="211"/>
      <c r="EC47" s="211"/>
      <c r="ED47" s="211"/>
      <c r="EE47" s="211"/>
      <c r="EF47" s="211"/>
      <c r="EG47" s="211"/>
      <c r="EH47" s="211"/>
      <c r="EI47" s="211"/>
      <c r="EJ47" s="211"/>
      <c r="EK47" s="211"/>
      <c r="EL47" s="211"/>
      <c r="EM47" s="211"/>
      <c r="EN47" s="211"/>
      <c r="EO47" s="211"/>
      <c r="EP47" s="211"/>
      <c r="EQ47" s="211"/>
      <c r="ER47" s="211"/>
      <c r="ES47" s="211"/>
      <c r="ET47" s="211"/>
      <c r="EU47" s="211"/>
      <c r="EV47" s="211"/>
      <c r="EW47" s="211"/>
      <c r="EX47" s="211"/>
      <c r="EY47" s="211"/>
      <c r="EZ47" s="211"/>
      <c r="FA47" s="211"/>
      <c r="FB47" s="211"/>
    </row>
    <row r="48" spans="1:158" ht="18" customHeight="1"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</row>
    <row r="49" spans="1:158">
      <c r="A49" s="775"/>
      <c r="B49" s="17"/>
      <c r="C49" s="775"/>
      <c r="D49" s="775"/>
      <c r="E49" s="775"/>
      <c r="F49" s="6"/>
      <c r="G49" s="775"/>
      <c r="H49" s="775"/>
      <c r="I49" s="775"/>
      <c r="J49" s="775"/>
      <c r="K49" s="775"/>
      <c r="L49" s="669"/>
      <c r="M49" s="669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</row>
    <row r="50" spans="1:158" ht="18" customHeight="1"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</row>
    <row r="51" spans="1:158" ht="18" customHeight="1">
      <c r="DZ51" s="211"/>
      <c r="EA51" s="211"/>
      <c r="EB51" s="211"/>
      <c r="EC51" s="211"/>
      <c r="ED51" s="211"/>
      <c r="EE51" s="211"/>
      <c r="EF51" s="211"/>
      <c r="EG51" s="211"/>
      <c r="EH51" s="211"/>
      <c r="EI51" s="211"/>
      <c r="EJ51" s="211"/>
      <c r="EK51" s="211"/>
      <c r="EL51" s="211"/>
      <c r="EM51" s="211"/>
      <c r="EN51" s="211"/>
      <c r="EO51" s="211"/>
      <c r="EP51" s="211"/>
      <c r="EQ51" s="211"/>
      <c r="ER51" s="211"/>
      <c r="ES51" s="211"/>
      <c r="ET51" s="211"/>
      <c r="EU51" s="211"/>
      <c r="EV51" s="211"/>
      <c r="EW51" s="211"/>
      <c r="EX51" s="211"/>
      <c r="EY51" s="211"/>
      <c r="EZ51" s="211"/>
      <c r="FA51" s="211"/>
      <c r="FB51" s="211"/>
    </row>
    <row r="52" spans="1:158" ht="18" customHeight="1">
      <c r="DZ52" s="211"/>
      <c r="EA52" s="211"/>
      <c r="EB52" s="211"/>
      <c r="EC52" s="211"/>
      <c r="ED52" s="211"/>
      <c r="EE52" s="211"/>
      <c r="EF52" s="211"/>
      <c r="EG52" s="211"/>
      <c r="EH52" s="211"/>
      <c r="EI52" s="211"/>
      <c r="EJ52" s="211"/>
      <c r="EK52" s="211"/>
      <c r="EL52" s="211"/>
      <c r="EM52" s="211"/>
      <c r="EN52" s="211"/>
      <c r="EO52" s="211"/>
      <c r="EP52" s="211"/>
      <c r="EQ52" s="211"/>
      <c r="ER52" s="211"/>
      <c r="ES52" s="211"/>
      <c r="ET52" s="211"/>
      <c r="EU52" s="211"/>
      <c r="EV52" s="211"/>
      <c r="EW52" s="211"/>
      <c r="EX52" s="211"/>
      <c r="EY52" s="211"/>
      <c r="EZ52" s="211"/>
      <c r="FA52" s="211"/>
      <c r="FB52" s="211"/>
    </row>
    <row r="53" spans="1:158" ht="18" customHeight="1">
      <c r="DZ53" s="211"/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  <c r="ET53" s="211"/>
      <c r="EU53" s="211"/>
      <c r="EV53" s="211"/>
      <c r="EW53" s="211"/>
      <c r="EX53" s="211"/>
      <c r="EY53" s="211"/>
      <c r="EZ53" s="211"/>
      <c r="FA53" s="211"/>
      <c r="FB53" s="211"/>
    </row>
    <row r="54" spans="1:158" ht="18" customHeight="1">
      <c r="DZ54" s="211"/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  <c r="FA54" s="211"/>
      <c r="FB54" s="211"/>
    </row>
    <row r="55" spans="1:158" ht="18" customHeight="1">
      <c r="DZ55" s="211"/>
      <c r="EA55" s="211"/>
      <c r="EB55" s="211"/>
      <c r="EC55" s="211"/>
      <c r="ED55" s="211"/>
      <c r="EE55" s="211"/>
      <c r="EF55" s="211"/>
      <c r="EG55" s="211"/>
      <c r="EH55" s="211"/>
      <c r="EI55" s="211"/>
      <c r="EJ55" s="211"/>
      <c r="EK55" s="211"/>
      <c r="EL55" s="211"/>
      <c r="EM55" s="211"/>
      <c r="EN55" s="211"/>
      <c r="EO55" s="211"/>
      <c r="EP55" s="211"/>
      <c r="EQ55" s="211"/>
      <c r="ER55" s="211"/>
      <c r="ES55" s="211"/>
      <c r="ET55" s="211"/>
      <c r="EU55" s="211"/>
      <c r="EV55" s="211"/>
      <c r="EW55" s="211"/>
      <c r="EX55" s="211"/>
      <c r="EY55" s="211"/>
      <c r="EZ55" s="211"/>
      <c r="FA55" s="211"/>
      <c r="FB55" s="211"/>
    </row>
    <row r="56" spans="1:158" ht="18" customHeight="1">
      <c r="DZ56" s="211"/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  <c r="ET56" s="211"/>
      <c r="EU56" s="211"/>
      <c r="EV56" s="211"/>
      <c r="EW56" s="211"/>
      <c r="EX56" s="211"/>
      <c r="EY56" s="211"/>
      <c r="EZ56" s="211"/>
      <c r="FA56" s="211"/>
      <c r="FB56" s="211"/>
    </row>
    <row r="57" spans="1:158" ht="18" customHeight="1">
      <c r="DZ57" s="211"/>
      <c r="EA57" s="211"/>
      <c r="EB57" s="211"/>
      <c r="EC57" s="211"/>
      <c r="ED57" s="211"/>
      <c r="EE57" s="211"/>
      <c r="EF57" s="211"/>
      <c r="EG57" s="211"/>
      <c r="EH57" s="211"/>
      <c r="EI57" s="211"/>
      <c r="EJ57" s="211"/>
      <c r="EK57" s="211"/>
      <c r="EL57" s="211"/>
      <c r="EM57" s="211"/>
      <c r="EN57" s="211"/>
      <c r="EO57" s="211"/>
      <c r="EP57" s="211"/>
      <c r="EQ57" s="211"/>
      <c r="ER57" s="211"/>
      <c r="ES57" s="211"/>
      <c r="ET57" s="211"/>
      <c r="EU57" s="211"/>
      <c r="EV57" s="211"/>
      <c r="EW57" s="211"/>
      <c r="EX57" s="211"/>
      <c r="EY57" s="211"/>
      <c r="EZ57" s="211"/>
      <c r="FA57" s="211"/>
      <c r="FB57" s="211"/>
    </row>
    <row r="58" spans="1:158" ht="18" customHeight="1">
      <c r="DZ58" s="211"/>
      <c r="EA58" s="211"/>
      <c r="EB58" s="211"/>
      <c r="EC58" s="211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211"/>
      <c r="EQ58" s="211"/>
      <c r="ER58" s="211"/>
      <c r="ES58" s="211"/>
      <c r="ET58" s="211"/>
      <c r="EU58" s="211"/>
      <c r="EV58" s="211"/>
      <c r="EW58" s="211"/>
      <c r="EX58" s="211"/>
      <c r="EY58" s="211"/>
      <c r="EZ58" s="211"/>
      <c r="FA58" s="211"/>
      <c r="FB58" s="211"/>
    </row>
    <row r="59" spans="1:158" ht="18" customHeight="1">
      <c r="DZ59" s="211"/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</row>
    <row r="60" spans="1:158" ht="18" customHeight="1">
      <c r="K60" s="51"/>
      <c r="DZ60" s="211"/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</row>
    <row r="61" spans="1:158" ht="18" customHeight="1">
      <c r="DZ61" s="211"/>
      <c r="EA61" s="211"/>
      <c r="EB61" s="211"/>
      <c r="EC61" s="211"/>
      <c r="ED61" s="211"/>
      <c r="EE61" s="211"/>
      <c r="EF61" s="211"/>
      <c r="EG61" s="211"/>
      <c r="EH61" s="211"/>
      <c r="EI61" s="211"/>
      <c r="EJ61" s="211"/>
      <c r="EK61" s="211"/>
      <c r="EL61" s="211"/>
      <c r="EM61" s="211"/>
      <c r="EN61" s="211"/>
      <c r="EO61" s="211"/>
      <c r="EP61" s="211"/>
      <c r="EQ61" s="211"/>
      <c r="ER61" s="211"/>
      <c r="ES61" s="211"/>
      <c r="ET61" s="211"/>
      <c r="EU61" s="211"/>
      <c r="EV61" s="211"/>
      <c r="EW61" s="211"/>
      <c r="EX61" s="211"/>
      <c r="EY61" s="211"/>
      <c r="EZ61" s="211"/>
      <c r="FA61" s="211"/>
      <c r="FB61" s="211"/>
    </row>
    <row r="62" spans="1:158" ht="18" customHeight="1">
      <c r="DZ62" s="211"/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  <c r="FA62" s="211"/>
      <c r="FB62" s="211"/>
    </row>
    <row r="63" spans="1:158" ht="18" customHeight="1"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</row>
    <row r="64" spans="1:158" ht="18" customHeight="1"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</row>
    <row r="65" spans="130:158" ht="18" customHeight="1">
      <c r="DZ65" s="211"/>
      <c r="EA65" s="211"/>
      <c r="EB65" s="211"/>
      <c r="EC65" s="211"/>
      <c r="ED65" s="211"/>
      <c r="EE65" s="211"/>
      <c r="EF65" s="211"/>
      <c r="EG65" s="211"/>
      <c r="EH65" s="211"/>
      <c r="EI65" s="211"/>
      <c r="EJ65" s="211"/>
      <c r="EK65" s="211"/>
      <c r="EL65" s="211"/>
      <c r="EM65" s="211"/>
      <c r="EN65" s="211"/>
      <c r="EO65" s="211"/>
      <c r="EP65" s="211"/>
      <c r="EQ65" s="211"/>
      <c r="ER65" s="211"/>
      <c r="ES65" s="211"/>
      <c r="ET65" s="211"/>
      <c r="EU65" s="211"/>
      <c r="EV65" s="211"/>
      <c r="EW65" s="211"/>
      <c r="EX65" s="211"/>
      <c r="EY65" s="211"/>
      <c r="EZ65" s="211"/>
      <c r="FA65" s="211"/>
      <c r="FB65" s="211"/>
    </row>
    <row r="66" spans="130:158" ht="18" customHeight="1">
      <c r="DZ66" s="211"/>
      <c r="EA66" s="211"/>
      <c r="EB66" s="211"/>
      <c r="EC66" s="211"/>
      <c r="ED66" s="211"/>
      <c r="EE66" s="211"/>
      <c r="EF66" s="211"/>
      <c r="EG66" s="211"/>
      <c r="EH66" s="211"/>
      <c r="EI66" s="211"/>
      <c r="EJ66" s="211"/>
      <c r="EK66" s="211"/>
      <c r="EL66" s="211"/>
      <c r="EM66" s="211"/>
      <c r="EN66" s="211"/>
      <c r="EO66" s="211"/>
      <c r="EP66" s="211"/>
      <c r="EQ66" s="211"/>
      <c r="ER66" s="211"/>
      <c r="ES66" s="211"/>
      <c r="ET66" s="211"/>
      <c r="EU66" s="211"/>
      <c r="EV66" s="211"/>
      <c r="EW66" s="211"/>
      <c r="EX66" s="211"/>
      <c r="EY66" s="211"/>
      <c r="EZ66" s="211"/>
      <c r="FA66" s="211"/>
      <c r="FB66" s="211"/>
    </row>
    <row r="67" spans="130:158" ht="18" customHeight="1">
      <c r="DZ67" s="211"/>
      <c r="EA67" s="211"/>
      <c r="EB67" s="211"/>
      <c r="EC67" s="211"/>
      <c r="ED67" s="211"/>
      <c r="EE67" s="211"/>
      <c r="EF67" s="211"/>
      <c r="EG67" s="211"/>
      <c r="EH67" s="211"/>
      <c r="EI67" s="211"/>
      <c r="EJ67" s="211"/>
      <c r="EK67" s="211"/>
      <c r="EL67" s="211"/>
      <c r="EM67" s="211"/>
      <c r="EN67" s="211"/>
      <c r="EO67" s="211"/>
      <c r="EP67" s="211"/>
      <c r="EQ67" s="211"/>
      <c r="ER67" s="211"/>
      <c r="ES67" s="211"/>
      <c r="ET67" s="211"/>
      <c r="EU67" s="211"/>
      <c r="EV67" s="211"/>
      <c r="EW67" s="211"/>
      <c r="EX67" s="211"/>
      <c r="EY67" s="211"/>
      <c r="EZ67" s="211"/>
      <c r="FA67" s="211"/>
      <c r="FB67" s="211"/>
    </row>
    <row r="68" spans="130:158" ht="18" customHeight="1">
      <c r="DZ68" s="211"/>
      <c r="EA68" s="211"/>
      <c r="EB68" s="211"/>
      <c r="EC68" s="211"/>
      <c r="ED68" s="211"/>
      <c r="EE68" s="211"/>
      <c r="EF68" s="211"/>
      <c r="EG68" s="211"/>
      <c r="EH68" s="211"/>
      <c r="EI68" s="211"/>
      <c r="EJ68" s="211"/>
      <c r="EK68" s="211"/>
      <c r="EL68" s="211"/>
      <c r="EM68" s="211"/>
      <c r="EN68" s="211"/>
      <c r="EO68" s="211"/>
      <c r="EP68" s="211"/>
      <c r="EQ68" s="211"/>
      <c r="ER68" s="211"/>
      <c r="ES68" s="211"/>
      <c r="ET68" s="211"/>
      <c r="EU68" s="211"/>
      <c r="EV68" s="211"/>
      <c r="EW68" s="211"/>
      <c r="EX68" s="211"/>
      <c r="EY68" s="211"/>
      <c r="EZ68" s="211"/>
      <c r="FA68" s="211"/>
      <c r="FB68" s="211"/>
    </row>
    <row r="69" spans="130:158" ht="18" customHeight="1">
      <c r="DZ69" s="211"/>
      <c r="EA69" s="211"/>
      <c r="EB69" s="211"/>
      <c r="EC69" s="211"/>
      <c r="ED69" s="211"/>
      <c r="EE69" s="211"/>
      <c r="EF69" s="211"/>
      <c r="EG69" s="211"/>
      <c r="EH69" s="211"/>
      <c r="EI69" s="211"/>
      <c r="EJ69" s="211"/>
      <c r="EK69" s="211"/>
      <c r="EL69" s="211"/>
      <c r="EM69" s="211"/>
      <c r="EN69" s="211"/>
      <c r="EO69" s="211"/>
      <c r="EP69" s="211"/>
      <c r="EQ69" s="211"/>
      <c r="ER69" s="211"/>
      <c r="ES69" s="211"/>
      <c r="ET69" s="211"/>
      <c r="EU69" s="211"/>
      <c r="EV69" s="211"/>
      <c r="EW69" s="211"/>
      <c r="EX69" s="211"/>
      <c r="EY69" s="211"/>
      <c r="EZ69" s="211"/>
      <c r="FA69" s="211"/>
      <c r="FB69" s="211"/>
    </row>
    <row r="70" spans="130:158" ht="18" customHeight="1">
      <c r="DZ70" s="211"/>
      <c r="EA70" s="211"/>
      <c r="EB70" s="211"/>
      <c r="EC70" s="211"/>
      <c r="ED70" s="211"/>
      <c r="EE70" s="211"/>
      <c r="EF70" s="211"/>
      <c r="EG70" s="211"/>
      <c r="EH70" s="211"/>
      <c r="EI70" s="211"/>
      <c r="EJ70" s="211"/>
      <c r="EK70" s="211"/>
      <c r="EL70" s="211"/>
      <c r="EM70" s="211"/>
      <c r="EN70" s="211"/>
      <c r="EO70" s="211"/>
      <c r="EP70" s="211"/>
      <c r="EQ70" s="211"/>
      <c r="ER70" s="211"/>
      <c r="ES70" s="211"/>
      <c r="ET70" s="211"/>
      <c r="EU70" s="211"/>
      <c r="EV70" s="211"/>
      <c r="EW70" s="211"/>
      <c r="EX70" s="211"/>
      <c r="EY70" s="211"/>
      <c r="EZ70" s="211"/>
      <c r="FA70" s="211"/>
      <c r="FB70" s="211"/>
    </row>
    <row r="71" spans="130:158" ht="18" customHeight="1">
      <c r="DZ71" s="211"/>
      <c r="EA71" s="211"/>
      <c r="EB71" s="211"/>
      <c r="EC71" s="211"/>
      <c r="ED71" s="211"/>
      <c r="EE71" s="211"/>
      <c r="EF71" s="211"/>
      <c r="EG71" s="211"/>
      <c r="EH71" s="211"/>
      <c r="EI71" s="211"/>
      <c r="EJ71" s="211"/>
      <c r="EK71" s="211"/>
      <c r="EL71" s="211"/>
      <c r="EM71" s="211"/>
      <c r="EN71" s="211"/>
      <c r="EO71" s="211"/>
      <c r="EP71" s="211"/>
      <c r="EQ71" s="211"/>
      <c r="ER71" s="211"/>
      <c r="ES71" s="211"/>
      <c r="ET71" s="211"/>
      <c r="EU71" s="211"/>
      <c r="EV71" s="211"/>
      <c r="EW71" s="211"/>
      <c r="EX71" s="211"/>
      <c r="EY71" s="211"/>
      <c r="EZ71" s="211"/>
      <c r="FA71" s="211"/>
      <c r="FB71" s="211"/>
    </row>
    <row r="72" spans="130:158" ht="18" customHeight="1">
      <c r="DZ72" s="211"/>
      <c r="EA72" s="211"/>
      <c r="EB72" s="211"/>
      <c r="EC72" s="211"/>
      <c r="ED72" s="211"/>
      <c r="EE72" s="211"/>
      <c r="EF72" s="211"/>
      <c r="EG72" s="211"/>
      <c r="EH72" s="211"/>
      <c r="EI72" s="211"/>
      <c r="EJ72" s="211"/>
      <c r="EK72" s="211"/>
      <c r="EL72" s="211"/>
      <c r="EM72" s="211"/>
      <c r="EN72" s="211"/>
      <c r="EO72" s="211"/>
      <c r="EP72" s="211"/>
      <c r="EQ72" s="211"/>
      <c r="ER72" s="211"/>
      <c r="ES72" s="211"/>
      <c r="ET72" s="211"/>
      <c r="EU72" s="211"/>
      <c r="EV72" s="211"/>
      <c r="EW72" s="211"/>
      <c r="EX72" s="211"/>
      <c r="EY72" s="211"/>
      <c r="EZ72" s="211"/>
      <c r="FA72" s="211"/>
      <c r="FB72" s="211"/>
    </row>
    <row r="73" spans="130:158" ht="18" customHeight="1">
      <c r="DZ73" s="211"/>
      <c r="EA73" s="211"/>
      <c r="EB73" s="211"/>
      <c r="EC73" s="211"/>
      <c r="ED73" s="211"/>
      <c r="EE73" s="211"/>
      <c r="EF73" s="211"/>
      <c r="EG73" s="211"/>
      <c r="EH73" s="211"/>
      <c r="EI73" s="211"/>
      <c r="EJ73" s="211"/>
      <c r="EK73" s="211"/>
      <c r="EL73" s="211"/>
      <c r="EM73" s="211"/>
      <c r="EN73" s="211"/>
      <c r="EO73" s="211"/>
      <c r="EP73" s="211"/>
      <c r="EQ73" s="211"/>
      <c r="ER73" s="211"/>
      <c r="ES73" s="211"/>
      <c r="ET73" s="211"/>
      <c r="EU73" s="211"/>
      <c r="EV73" s="211"/>
      <c r="EW73" s="211"/>
      <c r="EX73" s="211"/>
      <c r="EY73" s="211"/>
      <c r="EZ73" s="211"/>
      <c r="FA73" s="211"/>
      <c r="FB73" s="211"/>
    </row>
    <row r="74" spans="130:158" ht="18" customHeight="1">
      <c r="DZ74" s="211"/>
      <c r="EA74" s="211"/>
      <c r="EB74" s="211"/>
      <c r="EC74" s="211"/>
      <c r="ED74" s="211"/>
      <c r="EE74" s="211"/>
      <c r="EF74" s="211"/>
      <c r="EG74" s="211"/>
      <c r="EH74" s="211"/>
      <c r="EI74" s="211"/>
      <c r="EJ74" s="211"/>
      <c r="EK74" s="211"/>
      <c r="EL74" s="211"/>
      <c r="EM74" s="211"/>
      <c r="EN74" s="211"/>
      <c r="EO74" s="211"/>
      <c r="EP74" s="211"/>
      <c r="EQ74" s="211"/>
      <c r="ER74" s="211"/>
      <c r="ES74" s="211"/>
      <c r="ET74" s="211"/>
      <c r="EU74" s="211"/>
      <c r="EV74" s="211"/>
      <c r="EW74" s="211"/>
      <c r="EX74" s="211"/>
      <c r="EY74" s="211"/>
      <c r="EZ74" s="211"/>
      <c r="FA74" s="211"/>
      <c r="FB74" s="211"/>
    </row>
    <row r="75" spans="130:158" ht="18" customHeight="1">
      <c r="DZ75" s="211"/>
      <c r="EA75" s="211"/>
      <c r="EB75" s="211"/>
      <c r="EC75" s="211"/>
      <c r="ED75" s="211"/>
      <c r="EE75" s="211"/>
      <c r="EF75" s="211"/>
      <c r="EG75" s="211"/>
      <c r="EH75" s="211"/>
      <c r="EI75" s="211"/>
      <c r="EJ75" s="211"/>
      <c r="EK75" s="211"/>
      <c r="EL75" s="211"/>
      <c r="EM75" s="211"/>
      <c r="EN75" s="211"/>
      <c r="EO75" s="211"/>
      <c r="EP75" s="211"/>
      <c r="EQ75" s="211"/>
      <c r="ER75" s="211"/>
      <c r="ES75" s="211"/>
      <c r="ET75" s="211"/>
      <c r="EU75" s="211"/>
      <c r="EV75" s="211"/>
      <c r="EW75" s="211"/>
      <c r="EX75" s="211"/>
      <c r="EY75" s="211"/>
      <c r="EZ75" s="211"/>
      <c r="FA75" s="211"/>
      <c r="FB75" s="211"/>
    </row>
    <row r="76" spans="130:158" ht="18" customHeight="1">
      <c r="DZ76" s="211"/>
      <c r="EA76" s="211"/>
      <c r="EB76" s="211"/>
      <c r="EC76" s="211"/>
      <c r="ED76" s="211"/>
      <c r="EE76" s="211"/>
      <c r="EF76" s="211"/>
      <c r="EG76" s="211"/>
      <c r="EH76" s="211"/>
      <c r="EI76" s="211"/>
      <c r="EJ76" s="211"/>
      <c r="EK76" s="211"/>
      <c r="EL76" s="211"/>
      <c r="EM76" s="211"/>
      <c r="EN76" s="211"/>
      <c r="EO76" s="211"/>
      <c r="EP76" s="211"/>
      <c r="EQ76" s="211"/>
      <c r="ER76" s="211"/>
      <c r="ES76" s="211"/>
      <c r="ET76" s="211"/>
      <c r="EU76" s="211"/>
      <c r="EV76" s="211"/>
      <c r="EW76" s="211"/>
      <c r="EX76" s="211"/>
      <c r="EY76" s="211"/>
      <c r="EZ76" s="211"/>
      <c r="FA76" s="211"/>
      <c r="FB76" s="211"/>
    </row>
    <row r="77" spans="130:158" ht="18" customHeight="1">
      <c r="DZ77" s="211"/>
      <c r="EA77" s="211"/>
      <c r="EB77" s="211"/>
      <c r="EC77" s="211"/>
      <c r="ED77" s="211"/>
      <c r="EE77" s="211"/>
      <c r="EF77" s="211"/>
      <c r="EG77" s="211"/>
      <c r="EH77" s="211"/>
      <c r="EI77" s="211"/>
      <c r="EJ77" s="211"/>
      <c r="EK77" s="211"/>
      <c r="EL77" s="211"/>
      <c r="EM77" s="211"/>
      <c r="EN77" s="211"/>
      <c r="EO77" s="211"/>
      <c r="EP77" s="211"/>
      <c r="EQ77" s="211"/>
      <c r="ER77" s="211"/>
      <c r="ES77" s="211"/>
      <c r="ET77" s="211"/>
      <c r="EU77" s="211"/>
      <c r="EV77" s="211"/>
      <c r="EW77" s="211"/>
      <c r="EX77" s="211"/>
      <c r="EY77" s="211"/>
      <c r="EZ77" s="211"/>
      <c r="FA77" s="211"/>
      <c r="FB77" s="211"/>
    </row>
    <row r="78" spans="130:158" ht="18" customHeight="1">
      <c r="DZ78" s="211"/>
      <c r="EA78" s="211"/>
      <c r="EB78" s="211"/>
      <c r="EC78" s="211"/>
      <c r="ED78" s="211"/>
      <c r="EE78" s="211"/>
      <c r="EF78" s="211"/>
      <c r="EG78" s="211"/>
      <c r="EH78" s="211"/>
      <c r="EI78" s="211"/>
      <c r="EJ78" s="211"/>
      <c r="EK78" s="211"/>
      <c r="EL78" s="211"/>
      <c r="EM78" s="211"/>
      <c r="EN78" s="211"/>
      <c r="EO78" s="211"/>
      <c r="EP78" s="211"/>
      <c r="EQ78" s="211"/>
      <c r="ER78" s="211"/>
      <c r="ES78" s="211"/>
      <c r="ET78" s="211"/>
      <c r="EU78" s="211"/>
      <c r="EV78" s="211"/>
      <c r="EW78" s="211"/>
      <c r="EX78" s="211"/>
      <c r="EY78" s="211"/>
      <c r="EZ78" s="211"/>
      <c r="FA78" s="211"/>
      <c r="FB78" s="211"/>
    </row>
    <row r="79" spans="130:158" ht="18" customHeight="1"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  <c r="EK79" s="211"/>
      <c r="EL79" s="211"/>
      <c r="EM79" s="211"/>
      <c r="EN79" s="211"/>
      <c r="EO79" s="211"/>
      <c r="EP79" s="211"/>
      <c r="EQ79" s="211"/>
      <c r="ER79" s="211"/>
      <c r="ES79" s="211"/>
      <c r="ET79" s="211"/>
      <c r="EU79" s="211"/>
      <c r="EV79" s="211"/>
      <c r="EW79" s="211"/>
      <c r="EX79" s="211"/>
      <c r="EY79" s="211"/>
      <c r="EZ79" s="211"/>
      <c r="FA79" s="211"/>
      <c r="FB79" s="211"/>
    </row>
    <row r="80" spans="130:158" ht="18" customHeight="1"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  <c r="EK80" s="211"/>
      <c r="EL80" s="211"/>
      <c r="EM80" s="211"/>
      <c r="EN80" s="211"/>
      <c r="EO80" s="211"/>
      <c r="EP80" s="211"/>
      <c r="EQ80" s="211"/>
      <c r="ER80" s="211"/>
      <c r="ES80" s="211"/>
      <c r="ET80" s="211"/>
      <c r="EU80" s="211"/>
      <c r="EV80" s="211"/>
      <c r="EW80" s="211"/>
      <c r="EX80" s="211"/>
      <c r="EY80" s="211"/>
      <c r="EZ80" s="211"/>
      <c r="FA80" s="211"/>
      <c r="FB80" s="211"/>
    </row>
    <row r="81" spans="130:158" ht="18" customHeight="1">
      <c r="DZ81" s="211"/>
      <c r="EA81" s="211"/>
      <c r="EB81" s="211"/>
      <c r="EC81" s="211"/>
      <c r="ED81" s="211"/>
      <c r="EE81" s="211"/>
      <c r="EF81" s="211"/>
      <c r="EG81" s="211"/>
      <c r="EH81" s="211"/>
      <c r="EI81" s="211"/>
      <c r="EJ81" s="211"/>
      <c r="EK81" s="211"/>
      <c r="EL81" s="211"/>
      <c r="EM81" s="211"/>
      <c r="EN81" s="211"/>
      <c r="EO81" s="211"/>
      <c r="EP81" s="211"/>
      <c r="EQ81" s="211"/>
      <c r="ER81" s="211"/>
      <c r="ES81" s="211"/>
      <c r="ET81" s="211"/>
      <c r="EU81" s="211"/>
      <c r="EV81" s="211"/>
      <c r="EW81" s="211"/>
      <c r="EX81" s="211"/>
      <c r="EY81" s="211"/>
      <c r="EZ81" s="211"/>
      <c r="FA81" s="211"/>
      <c r="FB81" s="211"/>
    </row>
    <row r="82" spans="130:158" ht="18" customHeight="1">
      <c r="DZ82" s="211"/>
      <c r="EA82" s="211"/>
      <c r="EB82" s="211"/>
      <c r="EC82" s="211"/>
      <c r="ED82" s="211"/>
      <c r="EE82" s="211"/>
      <c r="EF82" s="211"/>
      <c r="EG82" s="211"/>
      <c r="EH82" s="211"/>
      <c r="EI82" s="211"/>
      <c r="EJ82" s="211"/>
      <c r="EK82" s="211"/>
      <c r="EL82" s="211"/>
      <c r="EM82" s="211"/>
      <c r="EN82" s="211"/>
      <c r="EO82" s="211"/>
      <c r="EP82" s="211"/>
      <c r="EQ82" s="211"/>
      <c r="ER82" s="211"/>
      <c r="ES82" s="211"/>
      <c r="ET82" s="211"/>
      <c r="EU82" s="211"/>
      <c r="EV82" s="211"/>
      <c r="EW82" s="211"/>
      <c r="EX82" s="211"/>
      <c r="EY82" s="211"/>
      <c r="EZ82" s="211"/>
      <c r="FA82" s="211"/>
      <c r="FB82" s="211"/>
    </row>
    <row r="83" spans="130:158" ht="18" customHeight="1">
      <c r="DZ83" s="211"/>
      <c r="EA83" s="211"/>
      <c r="EB83" s="211"/>
      <c r="EC83" s="211"/>
      <c r="ED83" s="211"/>
      <c r="EE83" s="211"/>
      <c r="EF83" s="211"/>
      <c r="EG83" s="211"/>
      <c r="EH83" s="211"/>
      <c r="EI83" s="211"/>
      <c r="EJ83" s="211"/>
      <c r="EK83" s="211"/>
      <c r="EL83" s="211"/>
      <c r="EM83" s="211"/>
      <c r="EN83" s="211"/>
      <c r="EO83" s="211"/>
      <c r="EP83" s="211"/>
      <c r="EQ83" s="211"/>
      <c r="ER83" s="211"/>
      <c r="ES83" s="211"/>
      <c r="ET83" s="211"/>
      <c r="EU83" s="211"/>
      <c r="EV83" s="211"/>
      <c r="EW83" s="211"/>
      <c r="EX83" s="211"/>
      <c r="EY83" s="211"/>
      <c r="EZ83" s="211"/>
      <c r="FA83" s="211"/>
      <c r="FB83" s="211"/>
    </row>
    <row r="84" spans="130:158" ht="18" customHeight="1">
      <c r="DZ84" s="211"/>
      <c r="EA84" s="211"/>
      <c r="EB84" s="211"/>
      <c r="EC84" s="211"/>
      <c r="ED84" s="211"/>
      <c r="EE84" s="211"/>
      <c r="EF84" s="211"/>
      <c r="EG84" s="211"/>
      <c r="EH84" s="211"/>
      <c r="EI84" s="211"/>
      <c r="EJ84" s="211"/>
      <c r="EK84" s="211"/>
      <c r="EL84" s="211"/>
      <c r="EM84" s="211"/>
      <c r="EN84" s="211"/>
      <c r="EO84" s="211"/>
      <c r="EP84" s="211"/>
      <c r="EQ84" s="211"/>
      <c r="ER84" s="211"/>
      <c r="ES84" s="211"/>
      <c r="ET84" s="211"/>
      <c r="EU84" s="211"/>
      <c r="EV84" s="211"/>
      <c r="EW84" s="211"/>
      <c r="EX84" s="211"/>
      <c r="EY84" s="211"/>
      <c r="EZ84" s="211"/>
      <c r="FA84" s="211"/>
      <c r="FB84" s="211"/>
    </row>
    <row r="85" spans="130:158" ht="18" customHeight="1">
      <c r="DZ85" s="211"/>
      <c r="EA85" s="211"/>
      <c r="EB85" s="211"/>
      <c r="EC85" s="211"/>
      <c r="ED85" s="211"/>
      <c r="EE85" s="211"/>
      <c r="EF85" s="211"/>
      <c r="EG85" s="211"/>
      <c r="EH85" s="211"/>
      <c r="EI85" s="211"/>
      <c r="EJ85" s="211"/>
      <c r="EK85" s="211"/>
      <c r="EL85" s="211"/>
      <c r="EM85" s="211"/>
      <c r="EN85" s="211"/>
      <c r="EO85" s="211"/>
      <c r="EP85" s="211"/>
      <c r="EQ85" s="211"/>
      <c r="ER85" s="211"/>
      <c r="ES85" s="211"/>
      <c r="ET85" s="211"/>
      <c r="EU85" s="211"/>
      <c r="EV85" s="211"/>
      <c r="EW85" s="211"/>
      <c r="EX85" s="211"/>
      <c r="EY85" s="211"/>
      <c r="EZ85" s="211"/>
      <c r="FA85" s="211"/>
      <c r="FB85" s="211"/>
    </row>
    <row r="86" spans="130:158" ht="18" customHeight="1">
      <c r="DZ86" s="211"/>
      <c r="EA86" s="211"/>
      <c r="EB86" s="211"/>
      <c r="EC86" s="211"/>
      <c r="ED86" s="211"/>
      <c r="EE86" s="211"/>
      <c r="EF86" s="211"/>
      <c r="EG86" s="211"/>
      <c r="EH86" s="211"/>
      <c r="EI86" s="211"/>
      <c r="EJ86" s="211"/>
      <c r="EK86" s="211"/>
      <c r="EL86" s="211"/>
      <c r="EM86" s="211"/>
      <c r="EN86" s="211"/>
      <c r="EO86" s="211"/>
      <c r="EP86" s="211"/>
      <c r="EQ86" s="211"/>
      <c r="ER86" s="211"/>
      <c r="ES86" s="211"/>
      <c r="ET86" s="211"/>
      <c r="EU86" s="211"/>
      <c r="EV86" s="211"/>
      <c r="EW86" s="211"/>
      <c r="EX86" s="211"/>
      <c r="EY86" s="211"/>
      <c r="EZ86" s="211"/>
      <c r="FA86" s="211"/>
      <c r="FB86" s="211"/>
    </row>
    <row r="87" spans="130:158" ht="18" customHeight="1">
      <c r="DZ87" s="211"/>
      <c r="EA87" s="211"/>
      <c r="EB87" s="211"/>
      <c r="EC87" s="211"/>
      <c r="ED87" s="211"/>
      <c r="EE87" s="211"/>
      <c r="EF87" s="211"/>
      <c r="EG87" s="211"/>
      <c r="EH87" s="211"/>
      <c r="EI87" s="211"/>
      <c r="EJ87" s="211"/>
      <c r="EK87" s="211"/>
      <c r="EL87" s="211"/>
      <c r="EM87" s="211"/>
      <c r="EN87" s="211"/>
      <c r="EO87" s="211"/>
      <c r="EP87" s="211"/>
      <c r="EQ87" s="211"/>
      <c r="ER87" s="211"/>
      <c r="ES87" s="211"/>
      <c r="ET87" s="211"/>
      <c r="EU87" s="211"/>
      <c r="EV87" s="211"/>
      <c r="EW87" s="211"/>
      <c r="EX87" s="211"/>
      <c r="EY87" s="211"/>
      <c r="EZ87" s="211"/>
      <c r="FA87" s="211"/>
      <c r="FB87" s="211"/>
    </row>
    <row r="88" spans="130:158" ht="18" customHeight="1">
      <c r="DZ88" s="211"/>
      <c r="EA88" s="211"/>
      <c r="EB88" s="211"/>
      <c r="EC88" s="211"/>
      <c r="ED88" s="211"/>
      <c r="EE88" s="211"/>
      <c r="EF88" s="211"/>
      <c r="EG88" s="211"/>
      <c r="EH88" s="211"/>
      <c r="EI88" s="211"/>
      <c r="EJ88" s="211"/>
      <c r="EK88" s="211"/>
      <c r="EL88" s="211"/>
      <c r="EM88" s="211"/>
      <c r="EN88" s="211"/>
      <c r="EO88" s="211"/>
      <c r="EP88" s="211"/>
      <c r="EQ88" s="211"/>
      <c r="ER88" s="211"/>
      <c r="ES88" s="211"/>
      <c r="ET88" s="211"/>
      <c r="EU88" s="211"/>
      <c r="EV88" s="211"/>
      <c r="EW88" s="211"/>
      <c r="EX88" s="211"/>
      <c r="EY88" s="211"/>
      <c r="EZ88" s="211"/>
      <c r="FA88" s="211"/>
      <c r="FB88" s="211"/>
    </row>
    <row r="89" spans="130:158" ht="18" customHeight="1">
      <c r="DZ89" s="211"/>
      <c r="EA89" s="211"/>
      <c r="EB89" s="211"/>
      <c r="EC89" s="211"/>
      <c r="ED89" s="211"/>
      <c r="EE89" s="211"/>
      <c r="EF89" s="211"/>
      <c r="EG89" s="211"/>
      <c r="EH89" s="211"/>
      <c r="EI89" s="211"/>
      <c r="EJ89" s="211"/>
      <c r="EK89" s="211"/>
      <c r="EL89" s="211"/>
      <c r="EM89" s="211"/>
      <c r="EN89" s="211"/>
      <c r="EO89" s="211"/>
      <c r="EP89" s="211"/>
      <c r="EQ89" s="211"/>
      <c r="ER89" s="211"/>
      <c r="ES89" s="211"/>
      <c r="ET89" s="211"/>
      <c r="EU89" s="211"/>
      <c r="EV89" s="211"/>
      <c r="EW89" s="211"/>
      <c r="EX89" s="211"/>
      <c r="EY89" s="211"/>
      <c r="EZ89" s="211"/>
      <c r="FA89" s="211"/>
      <c r="FB89" s="211"/>
    </row>
    <row r="90" spans="130:158" ht="18" customHeight="1">
      <c r="DZ90" s="211"/>
      <c r="EA90" s="211"/>
      <c r="EB90" s="211"/>
      <c r="EC90" s="211"/>
      <c r="ED90" s="211"/>
      <c r="EE90" s="211"/>
      <c r="EF90" s="211"/>
      <c r="EG90" s="211"/>
      <c r="EH90" s="211"/>
      <c r="EI90" s="211"/>
      <c r="EJ90" s="211"/>
      <c r="EK90" s="211"/>
      <c r="EL90" s="211"/>
      <c r="EM90" s="211"/>
      <c r="EN90" s="211"/>
      <c r="EO90" s="211"/>
      <c r="EP90" s="211"/>
      <c r="EQ90" s="211"/>
      <c r="ER90" s="211"/>
      <c r="ES90" s="211"/>
      <c r="ET90" s="211"/>
      <c r="EU90" s="211"/>
      <c r="EV90" s="211"/>
      <c r="EW90" s="211"/>
      <c r="EX90" s="211"/>
      <c r="EY90" s="211"/>
      <c r="EZ90" s="211"/>
      <c r="FA90" s="211"/>
      <c r="FB90" s="211"/>
    </row>
    <row r="91" spans="130:158">
      <c r="DZ91" s="211"/>
      <c r="EA91" s="211"/>
      <c r="EB91" s="211"/>
      <c r="EC91" s="211"/>
      <c r="ED91" s="211"/>
      <c r="EE91" s="211"/>
      <c r="EF91" s="211"/>
      <c r="EG91" s="211"/>
      <c r="EH91" s="211"/>
      <c r="EI91" s="211"/>
      <c r="EJ91" s="211"/>
      <c r="EK91" s="211"/>
      <c r="EL91" s="211"/>
      <c r="EM91" s="211"/>
      <c r="EN91" s="211"/>
      <c r="EO91" s="211"/>
      <c r="EP91" s="211"/>
      <c r="EQ91" s="211"/>
      <c r="ER91" s="211"/>
      <c r="ES91" s="211"/>
      <c r="ET91" s="211"/>
      <c r="EU91" s="211"/>
      <c r="EV91" s="211"/>
      <c r="EW91" s="211"/>
      <c r="EX91" s="211"/>
      <c r="EY91" s="211"/>
      <c r="EZ91" s="211"/>
      <c r="FA91" s="211"/>
      <c r="FB91" s="211"/>
    </row>
    <row r="92" spans="130:158">
      <c r="DZ92" s="211"/>
      <c r="EA92" s="211"/>
      <c r="EB92" s="211"/>
      <c r="EC92" s="211"/>
      <c r="ED92" s="211"/>
      <c r="EE92" s="211"/>
      <c r="EF92" s="211"/>
      <c r="EG92" s="211"/>
      <c r="EH92" s="211"/>
      <c r="EI92" s="211"/>
      <c r="EJ92" s="211"/>
      <c r="EK92" s="211"/>
      <c r="EL92" s="211"/>
      <c r="EM92" s="211"/>
      <c r="EN92" s="211"/>
      <c r="EO92" s="211"/>
      <c r="EP92" s="211"/>
      <c r="EQ92" s="211"/>
      <c r="ER92" s="211"/>
      <c r="ES92" s="211"/>
      <c r="ET92" s="211"/>
      <c r="EU92" s="211"/>
      <c r="EV92" s="211"/>
      <c r="EW92" s="211"/>
      <c r="EX92" s="211"/>
      <c r="EY92" s="211"/>
      <c r="EZ92" s="211"/>
      <c r="FA92" s="211"/>
      <c r="FB92" s="211"/>
    </row>
    <row r="93" spans="130:158">
      <c r="DZ93" s="211"/>
      <c r="EA93" s="211"/>
      <c r="EB93" s="211"/>
      <c r="EC93" s="211"/>
      <c r="ED93" s="211"/>
      <c r="EE93" s="211"/>
      <c r="EF93" s="211"/>
      <c r="EG93" s="211"/>
      <c r="EH93" s="211"/>
      <c r="EI93" s="211"/>
      <c r="EJ93" s="211"/>
      <c r="EK93" s="211"/>
      <c r="EL93" s="211"/>
      <c r="EM93" s="211"/>
      <c r="EN93" s="211"/>
      <c r="EO93" s="211"/>
      <c r="EP93" s="211"/>
      <c r="EQ93" s="211"/>
      <c r="ER93" s="211"/>
      <c r="ES93" s="211"/>
      <c r="ET93" s="211"/>
      <c r="EU93" s="211"/>
      <c r="EV93" s="211"/>
      <c r="EW93" s="211"/>
      <c r="EX93" s="211"/>
      <c r="EY93" s="211"/>
      <c r="EZ93" s="211"/>
      <c r="FA93" s="211"/>
      <c r="FB93" s="211"/>
    </row>
    <row r="94" spans="130:158">
      <c r="DZ94" s="211"/>
      <c r="EA94" s="211"/>
      <c r="EB94" s="211"/>
      <c r="EC94" s="211"/>
      <c r="ED94" s="211"/>
      <c r="EE94" s="211"/>
      <c r="EF94" s="211"/>
      <c r="EG94" s="211"/>
      <c r="EH94" s="211"/>
      <c r="EI94" s="211"/>
      <c r="EJ94" s="211"/>
      <c r="EK94" s="211"/>
      <c r="EL94" s="211"/>
      <c r="EM94" s="211"/>
      <c r="EN94" s="211"/>
      <c r="EO94" s="211"/>
      <c r="EP94" s="211"/>
      <c r="EQ94" s="211"/>
      <c r="ER94" s="211"/>
      <c r="ES94" s="211"/>
      <c r="ET94" s="211"/>
      <c r="EU94" s="211"/>
      <c r="EV94" s="211"/>
      <c r="EW94" s="211"/>
      <c r="EX94" s="211"/>
      <c r="EY94" s="211"/>
      <c r="EZ94" s="211"/>
      <c r="FA94" s="211"/>
      <c r="FB94" s="211"/>
    </row>
    <row r="95" spans="130:158">
      <c r="DZ95" s="211"/>
      <c r="EA95" s="211"/>
      <c r="EB95" s="211"/>
      <c r="EC95" s="211"/>
      <c r="ED95" s="211"/>
      <c r="EE95" s="211"/>
      <c r="EF95" s="211"/>
      <c r="EG95" s="211"/>
      <c r="EH95" s="211"/>
      <c r="EI95" s="211"/>
      <c r="EJ95" s="211"/>
      <c r="EK95" s="211"/>
      <c r="EL95" s="211"/>
      <c r="EM95" s="211"/>
      <c r="EN95" s="211"/>
      <c r="EO95" s="211"/>
      <c r="EP95" s="211"/>
      <c r="EQ95" s="211"/>
      <c r="ER95" s="211"/>
      <c r="ES95" s="211"/>
      <c r="ET95" s="211"/>
      <c r="EU95" s="211"/>
      <c r="EV95" s="211"/>
      <c r="EW95" s="211"/>
      <c r="EX95" s="211"/>
      <c r="EY95" s="211"/>
      <c r="EZ95" s="211"/>
      <c r="FA95" s="211"/>
      <c r="FB95" s="211"/>
    </row>
    <row r="96" spans="130:158"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/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</row>
    <row r="97" spans="130:158">
      <c r="DZ97" s="211"/>
      <c r="EA97" s="211"/>
      <c r="EB97" s="211"/>
      <c r="EC97" s="211"/>
      <c r="ED97" s="211"/>
      <c r="EE97" s="211"/>
      <c r="EF97" s="211"/>
      <c r="EG97" s="211"/>
      <c r="EH97" s="211"/>
      <c r="EI97" s="211"/>
      <c r="EJ97" s="211"/>
      <c r="EK97" s="211"/>
      <c r="EL97" s="211"/>
      <c r="EM97" s="211"/>
      <c r="EN97" s="211"/>
      <c r="EO97" s="211"/>
      <c r="EP97" s="211"/>
      <c r="EQ97" s="211"/>
      <c r="ER97" s="211"/>
      <c r="ES97" s="211"/>
      <c r="ET97" s="211"/>
      <c r="EU97" s="211"/>
      <c r="EV97" s="211"/>
      <c r="EW97" s="211"/>
      <c r="EX97" s="211"/>
      <c r="EY97" s="211"/>
      <c r="EZ97" s="211"/>
      <c r="FA97" s="211"/>
      <c r="FB97" s="211"/>
    </row>
    <row r="98" spans="130:158">
      <c r="DZ98" s="211"/>
      <c r="EA98" s="211"/>
      <c r="EB98" s="211"/>
      <c r="EC98" s="211"/>
      <c r="ED98" s="211"/>
      <c r="EE98" s="211"/>
      <c r="EF98" s="211"/>
      <c r="EG98" s="211"/>
      <c r="EH98" s="211"/>
      <c r="EI98" s="211"/>
      <c r="EJ98" s="211"/>
      <c r="EK98" s="211"/>
      <c r="EL98" s="211"/>
      <c r="EM98" s="211"/>
      <c r="EN98" s="211"/>
      <c r="EO98" s="211"/>
      <c r="EP98" s="211"/>
      <c r="EQ98" s="211"/>
      <c r="ER98" s="211"/>
      <c r="ES98" s="211"/>
      <c r="ET98" s="211"/>
      <c r="EU98" s="211"/>
      <c r="EV98" s="211"/>
      <c r="EW98" s="211"/>
      <c r="EX98" s="211"/>
      <c r="EY98" s="211"/>
      <c r="EZ98" s="211"/>
      <c r="FA98" s="211"/>
      <c r="FB98" s="211"/>
    </row>
    <row r="99" spans="130:158">
      <c r="DZ99" s="211"/>
      <c r="EA99" s="211"/>
      <c r="EB99" s="211"/>
      <c r="EC99" s="211"/>
      <c r="ED99" s="211"/>
      <c r="EE99" s="211"/>
      <c r="EF99" s="211"/>
      <c r="EG99" s="211"/>
      <c r="EH99" s="211"/>
      <c r="EI99" s="211"/>
      <c r="EJ99" s="211"/>
      <c r="EK99" s="211"/>
      <c r="EL99" s="211"/>
      <c r="EM99" s="211"/>
      <c r="EN99" s="211"/>
      <c r="EO99" s="211"/>
      <c r="EP99" s="211"/>
      <c r="EQ99" s="211"/>
      <c r="ER99" s="211"/>
      <c r="ES99" s="211"/>
      <c r="ET99" s="211"/>
      <c r="EU99" s="211"/>
      <c r="EV99" s="211"/>
      <c r="EW99" s="211"/>
      <c r="EX99" s="211"/>
      <c r="EY99" s="211"/>
      <c r="EZ99" s="211"/>
      <c r="FA99" s="211"/>
      <c r="FB99" s="211"/>
    </row>
    <row r="100" spans="130:158">
      <c r="DZ100" s="211"/>
      <c r="EA100" s="211"/>
      <c r="EB100" s="211"/>
      <c r="EC100" s="211"/>
      <c r="ED100" s="211"/>
      <c r="EE100" s="211"/>
      <c r="EF100" s="211"/>
      <c r="EG100" s="211"/>
      <c r="EH100" s="211"/>
      <c r="EI100" s="211"/>
      <c r="EJ100" s="211"/>
      <c r="EK100" s="211"/>
      <c r="EL100" s="211"/>
      <c r="EM100" s="211"/>
      <c r="EN100" s="211"/>
      <c r="EO100" s="211"/>
      <c r="EP100" s="211"/>
      <c r="EQ100" s="211"/>
      <c r="ER100" s="211"/>
      <c r="ES100" s="211"/>
      <c r="ET100" s="211"/>
      <c r="EU100" s="211"/>
      <c r="EV100" s="211"/>
      <c r="EW100" s="211"/>
      <c r="EX100" s="211"/>
      <c r="EY100" s="211"/>
      <c r="EZ100" s="211"/>
      <c r="FA100" s="211"/>
      <c r="FB100" s="211"/>
    </row>
    <row r="101" spans="130:158">
      <c r="DZ101" s="211"/>
      <c r="EA101" s="211"/>
      <c r="EB101" s="211"/>
      <c r="EC101" s="211"/>
      <c r="ED101" s="211"/>
      <c r="EE101" s="211"/>
      <c r="EF101" s="211"/>
      <c r="EG101" s="211"/>
      <c r="EH101" s="211"/>
      <c r="EI101" s="211"/>
      <c r="EJ101" s="211"/>
      <c r="EK101" s="211"/>
      <c r="EL101" s="211"/>
      <c r="EM101" s="211"/>
      <c r="EN101" s="211"/>
      <c r="EO101" s="211"/>
      <c r="EP101" s="211"/>
      <c r="EQ101" s="211"/>
      <c r="ER101" s="211"/>
      <c r="ES101" s="211"/>
      <c r="ET101" s="211"/>
      <c r="EU101" s="211"/>
      <c r="EV101" s="211"/>
      <c r="EW101" s="211"/>
      <c r="EX101" s="211"/>
      <c r="EY101" s="211"/>
      <c r="EZ101" s="211"/>
      <c r="FA101" s="211"/>
      <c r="FB101" s="211"/>
    </row>
  </sheetData>
  <mergeCells count="23">
    <mergeCell ref="A17:B17"/>
    <mergeCell ref="C17:D17"/>
    <mergeCell ref="B38:D39"/>
    <mergeCell ref="B40:D41"/>
    <mergeCell ref="A18:B18"/>
    <mergeCell ref="C18:D18"/>
    <mergeCell ref="A20:B20"/>
    <mergeCell ref="C20:F20"/>
    <mergeCell ref="A21:B21"/>
    <mergeCell ref="C21:F21"/>
    <mergeCell ref="F11:F13"/>
    <mergeCell ref="A6:A7"/>
    <mergeCell ref="B8:F8"/>
    <mergeCell ref="A14:B16"/>
    <mergeCell ref="C14:D14"/>
    <mergeCell ref="C15:D15"/>
    <mergeCell ref="C16:D16"/>
    <mergeCell ref="B6:C6"/>
    <mergeCell ref="A5:C5"/>
    <mergeCell ref="B7:C7"/>
    <mergeCell ref="A11:B13"/>
    <mergeCell ref="C11:D13"/>
    <mergeCell ref="E11:E13"/>
  </mergeCells>
  <conditionalFormatting sqref="K9:M9 M11 M13 M15 M17">
    <cfRule type="cellIs" dxfId="32" priority="3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4" orientation="landscape" useFirstPageNumber="1" r:id="rId1"/>
  <headerFooter>
    <oddFooter>&amp;L&amp;P&amp;R&amp;G</oddFooter>
  </headerFooter>
  <rowBreaks count="1" manualBreakCount="1">
    <brk id="44" max="11" man="1"/>
  </row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14">
    <tabColor rgb="FF92D050"/>
  </sheetPr>
  <dimension ref="A1:FC78"/>
  <sheetViews>
    <sheetView view="pageBreakPreview" zoomScale="70" zoomScaleNormal="70" zoomScaleSheetLayoutView="70" zoomScalePageLayoutView="70" workbookViewId="0">
      <pane xSplit="5" ySplit="6" topLeftCell="G7" activePane="bottomRight" state="frozen"/>
      <selection pane="topRight" activeCell="F1" sqref="F1"/>
      <selection pane="bottomLeft" activeCell="A7" sqref="A7"/>
      <selection pane="bottomRight" activeCell="L27" sqref="L27"/>
    </sheetView>
  </sheetViews>
  <sheetFormatPr defaultColWidth="8.85546875" defaultRowHeight="15"/>
  <cols>
    <col min="1" max="1" width="4.7109375" style="19" customWidth="1"/>
    <col min="2" max="5" width="11.7109375" style="19" customWidth="1"/>
    <col min="6" max="6" width="11.7109375" style="2" customWidth="1"/>
    <col min="7" max="8" width="25.7109375" style="19" customWidth="1"/>
    <col min="9" max="9" width="25.7109375" style="471" customWidth="1"/>
    <col min="10" max="10" width="15.7109375" style="19" customWidth="1"/>
    <col min="11" max="12" width="15.7109375" style="471" customWidth="1"/>
    <col min="13" max="14" width="25.7109375" style="19" customWidth="1"/>
    <col min="15" max="15" width="20.7109375" style="19" customWidth="1"/>
    <col min="16" max="16384" width="8.85546875" style="19"/>
  </cols>
  <sheetData>
    <row r="1" spans="1:26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24"/>
      <c r="M1" s="24"/>
      <c r="N1" s="780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</row>
    <row r="2" spans="1:26" ht="18" customHeight="1">
      <c r="A2" s="5"/>
      <c r="B2" s="21"/>
      <c r="C2" s="21"/>
      <c r="D2" s="21"/>
      <c r="E2" s="21"/>
      <c r="F2" s="423"/>
      <c r="G2" s="13"/>
      <c r="H2" s="13"/>
      <c r="I2" s="13"/>
      <c r="J2" s="13"/>
      <c r="K2" s="13"/>
      <c r="L2" s="13"/>
      <c r="M2" s="13"/>
      <c r="N2" s="13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 ht="90" customHeight="1">
      <c r="A3" s="7"/>
      <c r="B3" s="752"/>
      <c r="C3" s="752"/>
      <c r="D3" s="2193"/>
      <c r="E3" s="2193"/>
      <c r="F3" s="8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A4" s="121"/>
      <c r="B4" s="17" t="s">
        <v>54</v>
      </c>
      <c r="C4" s="17"/>
      <c r="D4" s="121"/>
      <c r="E4" s="121"/>
      <c r="F4" s="6"/>
      <c r="G4" s="13"/>
      <c r="H4" s="13"/>
      <c r="I4" s="13"/>
      <c r="J4" s="13"/>
      <c r="K4" s="13"/>
      <c r="L4" s="13"/>
      <c r="M4" s="13"/>
      <c r="N4" s="13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34</v>
      </c>
      <c r="G5" s="2990" t="s">
        <v>1200</v>
      </c>
      <c r="H5" s="2990" t="s">
        <v>1544</v>
      </c>
      <c r="I5" s="2990" t="s">
        <v>1199</v>
      </c>
      <c r="J5" s="2992" t="s">
        <v>892</v>
      </c>
      <c r="K5" s="3057"/>
      <c r="L5" s="3058"/>
      <c r="M5" s="2990" t="s">
        <v>889</v>
      </c>
      <c r="N5" s="2992" t="s">
        <v>890</v>
      </c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 s="471" customFormat="1">
      <c r="A6" s="2946"/>
      <c r="B6" s="2947"/>
      <c r="C6" s="2948"/>
      <c r="D6" s="2994"/>
      <c r="E6" s="2994"/>
      <c r="F6" s="2994"/>
      <c r="G6" s="2991"/>
      <c r="H6" s="2991"/>
      <c r="I6" s="2991"/>
      <c r="J6" s="2993"/>
      <c r="K6" s="3059"/>
      <c r="L6" s="3060"/>
      <c r="M6" s="2991"/>
      <c r="N6" s="2993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 s="21" customFormat="1" ht="30" customHeight="1">
      <c r="A7" s="2997" t="s">
        <v>28</v>
      </c>
      <c r="B7" s="2932" t="s">
        <v>207</v>
      </c>
      <c r="C7" s="2932"/>
      <c r="D7" s="2019" t="s">
        <v>1953</v>
      </c>
      <c r="E7" s="2012" t="s">
        <v>31</v>
      </c>
      <c r="F7" s="116" t="s">
        <v>0</v>
      </c>
      <c r="G7" s="683">
        <f>'Полотна база'!T9*(1+скидки_наценки!$B$30)*скидки_наценки!$D$13*скидки_наценки!$F$13/скидки_наценки!$B$4</f>
        <v>21200</v>
      </c>
      <c r="H7" s="683">
        <f>'Полотна база'!T9*(1+скидки_наценки!$B$30)*скидки_наценки!$D$13*скидки_наценки!$F$13/скидки_наценки!$B$4</f>
        <v>21200</v>
      </c>
      <c r="I7" s="683">
        <f>'Полотна база'!T9*(1+скидки_наценки!$B$30)*скидки_наценки!$D$13*скидки_наценки!$F$13/скидки_наценки!$B$4</f>
        <v>21200</v>
      </c>
      <c r="J7" s="3064">
        <f>'Полотна база'!T9*(1+скидки_наценки!$B$30)*скидки_наценки!$D$13*скидки_наценки!$F$13/скидки_наценки!$B$4</f>
        <v>21200</v>
      </c>
      <c r="K7" s="3065"/>
      <c r="L7" s="3066"/>
      <c r="M7" s="683">
        <f>'Полотна база'!T9*(1+скидки_наценки!$B$30)*скидки_наценки!$D$13*скидки_наценки!$F$13/скидки_наценки!$B$4</f>
        <v>21200</v>
      </c>
      <c r="N7" s="683">
        <f>'Полотна база'!T9*(1+скидки_наценки!$B$30)*скидки_наценки!$D$13*скидки_наценки!$F$13/скидки_наценки!$B$4</f>
        <v>21200</v>
      </c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</row>
    <row r="8" spans="1:26" s="361" customFormat="1" ht="30" customHeight="1">
      <c r="A8" s="2997"/>
      <c r="B8" s="2998" t="s">
        <v>1435</v>
      </c>
      <c r="C8" s="2998"/>
      <c r="D8" s="2045" t="s">
        <v>1953</v>
      </c>
      <c r="E8" s="2013" t="s">
        <v>31</v>
      </c>
      <c r="F8" s="162" t="s">
        <v>0</v>
      </c>
      <c r="G8" s="1120">
        <f>'Полотна база'!T13*(1+скидки_наценки!$B$29)*скидки_наценки!$D$13*скидки_наценки!$F$13/скидки_наценки!$B$4</f>
        <v>28450</v>
      </c>
      <c r="H8" s="1120">
        <f>'Полотна база'!T13*(1+скидки_наценки!$B$29)*скидки_наценки!$D$13*скидки_наценки!$F$13/скидки_наценки!$B$4</f>
        <v>28450</v>
      </c>
      <c r="I8" s="1120">
        <f>'Полотна база'!T13*(1+скидки_наценки!$B$29)*скидки_наценки!$D$13*скидки_наценки!$F$13/скидки_наценки!$B$4</f>
        <v>28450</v>
      </c>
      <c r="J8" s="3061">
        <f>'Полотна база'!T13*(1+скидки_наценки!$B$29)*скидки_наценки!$D$13*скидки_наценки!$F$13/скидки_наценки!$B$4</f>
        <v>28450</v>
      </c>
      <c r="K8" s="3062"/>
      <c r="L8" s="3063"/>
      <c r="M8" s="1120" t="s">
        <v>3</v>
      </c>
      <c r="N8" s="1121" t="s">
        <v>3</v>
      </c>
      <c r="O8" s="476"/>
      <c r="P8" s="475"/>
      <c r="Q8" s="475"/>
      <c r="R8" s="475"/>
      <c r="S8" s="475"/>
      <c r="T8" s="475"/>
      <c r="U8" s="475"/>
      <c r="V8" s="475"/>
      <c r="W8" s="475"/>
      <c r="X8" s="475"/>
      <c r="Y8" s="475"/>
      <c r="Z8" s="475"/>
    </row>
    <row r="9" spans="1:26" ht="18" customHeight="1">
      <c r="B9" s="11"/>
      <c r="C9" s="11"/>
      <c r="F9" s="23"/>
      <c r="G9" s="23"/>
      <c r="H9" s="23"/>
      <c r="I9" s="669"/>
      <c r="J9" s="23"/>
      <c r="K9" s="669"/>
      <c r="L9" s="669"/>
      <c r="M9" s="23"/>
      <c r="N9" s="23"/>
    </row>
    <row r="10" spans="1:26" ht="90" customHeight="1">
      <c r="B10" s="11"/>
      <c r="C10" s="11"/>
      <c r="F10" s="23"/>
      <c r="G10" s="23"/>
      <c r="H10" s="23"/>
      <c r="I10" s="669"/>
      <c r="J10" s="23"/>
      <c r="K10" s="669"/>
      <c r="L10" s="669"/>
      <c r="M10" s="23"/>
      <c r="N10" s="23"/>
    </row>
    <row r="11" spans="1:26">
      <c r="A11" s="21"/>
      <c r="B11" s="17" t="s">
        <v>24</v>
      </c>
      <c r="C11" s="17"/>
      <c r="D11" s="21"/>
      <c r="E11" s="21"/>
      <c r="F11" s="13"/>
      <c r="G11" s="423"/>
      <c r="H11" s="13"/>
      <c r="I11" s="13"/>
      <c r="J11" s="13"/>
      <c r="K11" s="13"/>
      <c r="L11" s="13"/>
      <c r="M11" s="23"/>
      <c r="N11" s="23"/>
    </row>
    <row r="12" spans="1:26">
      <c r="A12" s="2881" t="s">
        <v>36</v>
      </c>
      <c r="B12" s="2883"/>
      <c r="C12" s="2881" t="s">
        <v>33</v>
      </c>
      <c r="D12" s="2883"/>
      <c r="E12" s="2988" t="s">
        <v>37</v>
      </c>
      <c r="F12" s="2988" t="s">
        <v>35</v>
      </c>
      <c r="G12" s="1115" t="str">
        <f>G5</f>
        <v>Rino1 /Marko1</v>
      </c>
      <c r="H12" s="1115" t="str">
        <f t="shared" ref="H12:N12" si="0">H5</f>
        <v>Rino2/Dino2</v>
      </c>
      <c r="I12" s="1115" t="str">
        <f t="shared" si="0"/>
        <v>Dino3/Rino3/Marko3</v>
      </c>
      <c r="J12" s="1115" t="str">
        <f t="shared" si="0"/>
        <v xml:space="preserve">Rino4/Lina6 </v>
      </c>
      <c r="K12" s="1115" t="str">
        <f>J12</f>
        <v xml:space="preserve">Rino4/Lina6 </v>
      </c>
      <c r="L12" s="1115" t="str">
        <f>J12</f>
        <v xml:space="preserve">Rino4/Lina6 </v>
      </c>
      <c r="M12" s="1115" t="str">
        <f t="shared" si="0"/>
        <v>Paulo1/2</v>
      </c>
      <c r="N12" s="1115" t="str">
        <f t="shared" si="0"/>
        <v>Paulo3/4</v>
      </c>
    </row>
    <row r="13" spans="1:26" s="274" customFormat="1">
      <c r="A13" s="3032"/>
      <c r="B13" s="3033"/>
      <c r="C13" s="3032"/>
      <c r="D13" s="3033"/>
      <c r="E13" s="3034"/>
      <c r="F13" s="3034"/>
      <c r="G13" s="1116" t="s">
        <v>21</v>
      </c>
      <c r="H13" s="1116" t="s">
        <v>21</v>
      </c>
      <c r="I13" s="1116" t="s">
        <v>21</v>
      </c>
      <c r="J13" s="1116" t="s">
        <v>21</v>
      </c>
      <c r="K13" s="1116" t="s">
        <v>22</v>
      </c>
      <c r="L13" s="1116" t="s">
        <v>1066</v>
      </c>
      <c r="M13" s="1116" t="s">
        <v>21</v>
      </c>
      <c r="N13" s="1116" t="s">
        <v>21</v>
      </c>
    </row>
    <row r="14" spans="1:26" s="126" customFormat="1">
      <c r="A14" s="2946"/>
      <c r="B14" s="2948"/>
      <c r="C14" s="2946"/>
      <c r="D14" s="2948"/>
      <c r="E14" s="2989"/>
      <c r="F14" s="2989"/>
      <c r="G14" s="1117" t="s">
        <v>176</v>
      </c>
      <c r="H14" s="1117" t="s">
        <v>176</v>
      </c>
      <c r="I14" s="1117" t="s">
        <v>176</v>
      </c>
      <c r="J14" s="1117" t="s">
        <v>176</v>
      </c>
      <c r="K14" s="1117" t="s">
        <v>176</v>
      </c>
      <c r="L14" s="1117" t="s">
        <v>176</v>
      </c>
      <c r="M14" s="1117" t="s">
        <v>176</v>
      </c>
      <c r="N14" s="1117" t="s">
        <v>176</v>
      </c>
    </row>
    <row r="15" spans="1:26" s="50" customFormat="1" ht="15" customHeight="1">
      <c r="A15" s="3036" t="s">
        <v>30</v>
      </c>
      <c r="B15" s="3037"/>
      <c r="C15" s="3042" t="s">
        <v>29</v>
      </c>
      <c r="D15" s="3043"/>
      <c r="E15" s="116" t="s">
        <v>170</v>
      </c>
      <c r="F15" s="1209" t="s">
        <v>3</v>
      </c>
      <c r="G15" s="1207">
        <f>Стекла_база!C79*(1+скидки_наценки!$B$32)*скидки_наценки!$D$13*скидки_наценки!$F$13/скидки_наценки!$B$4</f>
        <v>1600</v>
      </c>
      <c r="H15" s="296">
        <f>Стекла_база!C80*(1+скидки_наценки!$B$32)*скидки_наценки!$D$13*скидки_наценки!$F$13/скидки_наценки!$B$4</f>
        <v>1050</v>
      </c>
      <c r="I15" s="296">
        <f>Стекла_база!C81*(1+скидки_наценки!$B$32)*скидки_наценки!$D$13*скидки_наценки!$F$13/скидки_наценки!$B$4</f>
        <v>1100</v>
      </c>
      <c r="J15" s="296">
        <f>Стекла_база!C81*(1+скидки_наценки!$B$32)*скидки_наценки!$D$13*скидки_наценки!$F$13/скидки_наценки!$B$4</f>
        <v>1100</v>
      </c>
      <c r="K15" s="296">
        <f>Стекла_база!C82*(1+скидки_наценки!$B$32)*скидки_наценки!$D$13*скидки_наценки!$F$13/скидки_наценки!$B$4</f>
        <v>770</v>
      </c>
      <c r="L15" s="296">
        <f>J15</f>
        <v>1100</v>
      </c>
      <c r="M15" s="296">
        <f>H15</f>
        <v>1050</v>
      </c>
      <c r="N15" s="296">
        <f>G15</f>
        <v>1600</v>
      </c>
      <c r="O15" s="322"/>
    </row>
    <row r="16" spans="1:26" s="50" customFormat="1" ht="24" customHeight="1">
      <c r="A16" s="3038"/>
      <c r="B16" s="3039"/>
      <c r="C16" s="2917" t="s">
        <v>164</v>
      </c>
      <c r="D16" s="2918"/>
      <c r="E16" s="170" t="s">
        <v>171</v>
      </c>
      <c r="F16" s="1109" t="s">
        <v>3</v>
      </c>
      <c r="G16" s="1184">
        <f>Стекла_база!D79*скидки_наценки!$D$13*скидки_наценки!$F$13/скидки_наценки!$B$4</f>
        <v>2080</v>
      </c>
      <c r="H16" s="1183">
        <f>Стекла_база!D80*скидки_наценки!$D$13*скидки_наценки!$F$13/скидки_наценки!$B$4</f>
        <v>1365</v>
      </c>
      <c r="I16" s="1183">
        <f>Стекла_база!D81*скидки_наценки!$D$13*скидки_наценки!$F$13/скидки_наценки!$B$4</f>
        <v>1430</v>
      </c>
      <c r="J16" s="1183">
        <f>Стекла_база!D81*скидки_наценки!$D$13*скидки_наценки!$F$13/скидки_наценки!$B$4</f>
        <v>1430</v>
      </c>
      <c r="K16" s="1243">
        <f>Стекла_база!E82*скидки_наценки!$D$13*скидки_наценки!$F$13/скидки_наценки!$B$4</f>
        <v>1280</v>
      </c>
      <c r="L16" s="1183">
        <f>J16</f>
        <v>1430</v>
      </c>
      <c r="M16" s="1183">
        <f>H16</f>
        <v>1365</v>
      </c>
      <c r="N16" s="1206">
        <f t="shared" ref="N16:N19" si="1">G16</f>
        <v>2080</v>
      </c>
      <c r="O16" s="322"/>
    </row>
    <row r="17" spans="1:15" s="50" customFormat="1" ht="24" customHeight="1">
      <c r="A17" s="3040"/>
      <c r="B17" s="3041"/>
      <c r="C17" s="3006" t="s">
        <v>165</v>
      </c>
      <c r="D17" s="3007"/>
      <c r="E17" s="130" t="s">
        <v>171</v>
      </c>
      <c r="F17" s="1210" t="s">
        <v>3</v>
      </c>
      <c r="G17" s="1208">
        <f>Стекла_база!E79*скидки_наценки!$D$13*скидки_наценки!$F$13/скидки_наценки!$B$4</f>
        <v>2640</v>
      </c>
      <c r="H17" s="277">
        <f>Стекла_база!E80*скидки_наценки!$D$13*скидки_наценки!$F$13/скидки_наценки!$B$4</f>
        <v>1735</v>
      </c>
      <c r="I17" s="277">
        <f>Стекла_база!E81*скидки_наценки!$D$13*скидки_наценки!$F$13/скидки_наценки!$B$4</f>
        <v>1815</v>
      </c>
      <c r="J17" s="277">
        <f>Стекла_база!E81*скидки_наценки!$D$13*скидки_наценки!$F$13/скидки_наценки!$B$4</f>
        <v>1815</v>
      </c>
      <c r="K17" s="277">
        <f>Стекла_база!F82*скидки_наценки!$D$13*скидки_наценки!$F$13/скидки_наценки!$B$4</f>
        <v>1120</v>
      </c>
      <c r="L17" s="277">
        <f>J17</f>
        <v>1815</v>
      </c>
      <c r="M17" s="277">
        <f>H17</f>
        <v>1735</v>
      </c>
      <c r="N17" s="277">
        <f t="shared" si="1"/>
        <v>2640</v>
      </c>
      <c r="O17" s="322"/>
    </row>
    <row r="18" spans="1:15" s="50" customFormat="1" ht="39" customHeight="1">
      <c r="A18" s="3044" t="s">
        <v>183</v>
      </c>
      <c r="B18" s="3045"/>
      <c r="C18" s="3046" t="s">
        <v>1061</v>
      </c>
      <c r="D18" s="3047"/>
      <c r="E18" s="1122" t="s">
        <v>171</v>
      </c>
      <c r="F18" s="164" t="s">
        <v>3</v>
      </c>
      <c r="G18" s="311">
        <f>Стекла_база!F79*(1+скидки_наценки!$B$32)*скидки_наценки!$D$13*скидки_наценки!$F$13/скидки_наценки!$B$4</f>
        <v>2290</v>
      </c>
      <c r="H18" s="311">
        <f>Стекла_база!F80*(1+скидки_наценки!$B$32)*скидки_наценки!$D$13*скидки_наценки!$F$13/скидки_наценки!$B$4</f>
        <v>1505</v>
      </c>
      <c r="I18" s="311">
        <f>Стекла_база!F81*(1+скидки_наценки!$B$32)*скидки_наценки!$D$13*скидки_наценки!$F$13/скидки_наценки!$B$4</f>
        <v>1575</v>
      </c>
      <c r="J18" s="311">
        <f>Стекла_база!F81*(1+скидки_наценки!$B$32)*скидки_наценки!$D$13*скидки_наценки!$F$13/скидки_наценки!$B$4</f>
        <v>1575</v>
      </c>
      <c r="K18" s="311">
        <f>Стекла_база!G82*(1+скидки_наценки!$B$32)*скидки_наценки!$D$13*скидки_наценки!$F$13/скидки_наценки!$B$4</f>
        <v>1320</v>
      </c>
      <c r="L18" s="1107">
        <f>J18</f>
        <v>1575</v>
      </c>
      <c r="M18" s="311">
        <f>H18</f>
        <v>1505</v>
      </c>
      <c r="N18" s="311">
        <f t="shared" si="1"/>
        <v>2290</v>
      </c>
      <c r="O18" s="322"/>
    </row>
    <row r="19" spans="1:15" s="65" customFormat="1" ht="50.25" customHeight="1">
      <c r="A19" s="3049" t="s">
        <v>169</v>
      </c>
      <c r="B19" s="3050"/>
      <c r="C19" s="3051" t="s">
        <v>891</v>
      </c>
      <c r="D19" s="3052"/>
      <c r="E19" s="130" t="s">
        <v>171</v>
      </c>
      <c r="F19" s="349" t="s">
        <v>886</v>
      </c>
      <c r="G19" s="310">
        <f>Стекла_база!G79*(1+скидки_наценки!$B$32)*скидки_наценки!$D$13*скидки_наценки!$F$13/скидки_наценки!$B$4</f>
        <v>2710</v>
      </c>
      <c r="H19" s="310">
        <f>Стекла_база!G80*(1+скидки_наценки!$B$32)*скидки_наценки!$D$13*скидки_наценки!$F$13/скидки_наценки!$B$4</f>
        <v>1775</v>
      </c>
      <c r="I19" s="310">
        <f>Стекла_база!G81*(1+скидки_наценки!$B$32)*скидки_наценки!$D$13*скидки_наценки!$F$13/скидки_наценки!$B$4</f>
        <v>1860</v>
      </c>
      <c r="J19" s="310">
        <f>Стекла_база!G81*(1+скидки_наценки!$B$32)*скидки_наценки!$D$13*скидки_наценки!$F$13/скидки_наценки!$B$4</f>
        <v>1860</v>
      </c>
      <c r="K19" s="310">
        <f>Стекла_база!G82*(1+скидки_наценки!$B$32)*скидки_наценки!$D$13*скидки_наценки!$F$13/скидки_наценки!$B$4</f>
        <v>1320</v>
      </c>
      <c r="L19" s="728">
        <f>J19</f>
        <v>1860</v>
      </c>
      <c r="M19" s="310">
        <f>H19</f>
        <v>1775</v>
      </c>
      <c r="N19" s="310">
        <f t="shared" si="1"/>
        <v>2710</v>
      </c>
      <c r="O19" s="322"/>
    </row>
    <row r="20" spans="1:15" s="60" customFormat="1" ht="15" customHeight="1">
      <c r="A20" s="802" t="s">
        <v>172</v>
      </c>
      <c r="B20" s="801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0"/>
      <c r="N20" s="800"/>
      <c r="O20" s="322"/>
    </row>
    <row r="21" spans="1:15" s="20" customFormat="1" ht="24" customHeight="1">
      <c r="A21" s="3053" t="s">
        <v>178</v>
      </c>
      <c r="B21" s="3053"/>
      <c r="C21" s="3053" t="s">
        <v>304</v>
      </c>
      <c r="D21" s="3053"/>
      <c r="E21" s="3053"/>
      <c r="F21" s="3053"/>
      <c r="G21" s="279">
        <f>Стекла_база!N79*(1+скидки_наценки!$B$32)*скидки_наценки!$D$13*скидки_наценки!$F$13/скидки_наценки!$B$4</f>
        <v>750</v>
      </c>
      <c r="H21" s="279">
        <f>Стекла_база!N80*(1+скидки_наценки!$B$32)*скидки_наценки!$D$13*скидки_наценки!$F$13/скидки_наценки!$B$4</f>
        <v>550</v>
      </c>
      <c r="I21" s="279">
        <f>Стекла_база!N81*(1+скидки_наценки!$B$32)*скидки_наценки!$D$13*скидки_наценки!$F$13/скидки_наценки!$B$4</f>
        <v>550</v>
      </c>
      <c r="J21" s="279">
        <f>Стекла_база!N81*(1+скидки_наценки!$B$32)*скидки_наценки!$D$13*скидки_наценки!$F$13/скидки_наценки!$B$4</f>
        <v>550</v>
      </c>
      <c r="K21" s="279">
        <f>J21</f>
        <v>550</v>
      </c>
      <c r="L21" s="696">
        <f>J21</f>
        <v>550</v>
      </c>
      <c r="M21" s="279">
        <f>H21</f>
        <v>550</v>
      </c>
      <c r="N21" s="279">
        <f t="shared" ref="N21:N22" si="2">G21</f>
        <v>750</v>
      </c>
      <c r="O21" s="322"/>
    </row>
    <row r="22" spans="1:15" s="20" customFormat="1" ht="41.25" customHeight="1">
      <c r="A22" s="3054" t="s">
        <v>234</v>
      </c>
      <c r="B22" s="3055"/>
      <c r="C22" s="3056" t="s">
        <v>305</v>
      </c>
      <c r="D22" s="3056"/>
      <c r="E22" s="3056"/>
      <c r="F22" s="3056"/>
      <c r="G22" s="297">
        <f>Стекла_база!I79*(1+скидки_наценки!$B$32)*скидки_наценки!$D$13*скидки_наценки!$F$13/скидки_наценки!$B$4</f>
        <v>730</v>
      </c>
      <c r="H22" s="297">
        <f>Стекла_база!I80*(1+скидки_наценки!$B$32)*скидки_наценки!$D$13*скидки_наценки!$F$13/скидки_наценки!$B$4</f>
        <v>520</v>
      </c>
      <c r="I22" s="297">
        <f>Стекла_база!I81*(1+скидки_наценки!$B$32)*скидки_наценки!$D$13*скидки_наценки!$F$13/скидки_наценки!$B$4</f>
        <v>520</v>
      </c>
      <c r="J22" s="297">
        <f>Стекла_база!I81*(1+скидки_наценки!$B$32)*скидки_наценки!$D$13*скидки_наценки!$F$13/скидки_наценки!$B$4</f>
        <v>520</v>
      </c>
      <c r="K22" s="297">
        <f>J22</f>
        <v>520</v>
      </c>
      <c r="L22" s="704">
        <f>J22</f>
        <v>520</v>
      </c>
      <c r="M22" s="297">
        <f>H22</f>
        <v>520</v>
      </c>
      <c r="N22" s="297">
        <f t="shared" si="2"/>
        <v>730</v>
      </c>
      <c r="O22" s="322"/>
    </row>
    <row r="23" spans="1:15" ht="18" customHeight="1">
      <c r="A23" s="117"/>
      <c r="F23" s="19"/>
      <c r="O23" s="322"/>
    </row>
    <row r="24" spans="1:15" s="240" customFormat="1" ht="18" customHeight="1">
      <c r="G24" s="1205"/>
      <c r="I24" s="471"/>
      <c r="K24" s="471"/>
      <c r="L24" s="471"/>
      <c r="M24" s="301"/>
      <c r="O24" s="322"/>
    </row>
    <row r="25" spans="1:15" ht="15" customHeight="1">
      <c r="A25" s="21"/>
      <c r="B25" s="1"/>
      <c r="C25" s="1"/>
      <c r="D25" s="21"/>
      <c r="E25" s="21"/>
      <c r="F25" s="6"/>
      <c r="G25" s="21"/>
      <c r="H25" s="21"/>
      <c r="I25" s="1072"/>
      <c r="J25" s="185"/>
      <c r="M25" s="21"/>
      <c r="N25" s="21"/>
      <c r="O25" s="322"/>
    </row>
    <row r="26" spans="1:15" ht="18" customHeight="1">
      <c r="A26" s="21"/>
      <c r="B26" s="20"/>
      <c r="C26" s="20"/>
      <c r="D26" s="21"/>
      <c r="E26" s="21"/>
      <c r="F26" s="6"/>
      <c r="G26" s="21"/>
      <c r="H26" s="21"/>
      <c r="I26" s="1072"/>
      <c r="J26" s="21"/>
      <c r="K26" s="1072"/>
      <c r="L26" s="1072"/>
      <c r="M26" s="21"/>
      <c r="N26" s="21"/>
    </row>
    <row r="27" spans="1:15" ht="18" customHeight="1">
      <c r="A27" s="21"/>
      <c r="C27" s="44"/>
      <c r="D27" s="44"/>
      <c r="E27" s="44"/>
      <c r="F27" s="6"/>
      <c r="G27" s="21"/>
      <c r="H27" s="21"/>
      <c r="I27" s="1072"/>
      <c r="J27" s="21"/>
      <c r="K27" s="1072"/>
      <c r="L27" s="1072"/>
      <c r="M27" s="21"/>
      <c r="N27" s="21"/>
    </row>
    <row r="28" spans="1:15" ht="18" customHeight="1">
      <c r="A28" s="21"/>
      <c r="B28" s="44"/>
      <c r="C28" s="44"/>
      <c r="D28" s="44"/>
      <c r="E28" s="44"/>
      <c r="F28" s="6"/>
      <c r="G28" s="21"/>
      <c r="H28" s="21"/>
      <c r="I28" s="1072"/>
      <c r="J28" s="21"/>
      <c r="K28" s="1072"/>
      <c r="L28" s="1072"/>
      <c r="M28" s="21"/>
      <c r="N28" s="21"/>
    </row>
    <row r="29" spans="1:15" ht="18" customHeight="1">
      <c r="A29" s="21"/>
      <c r="B29" s="44"/>
      <c r="C29" s="44"/>
      <c r="D29" s="44"/>
      <c r="E29" s="44"/>
      <c r="F29" s="6"/>
      <c r="G29" s="21"/>
      <c r="H29" s="21"/>
      <c r="I29" s="1072"/>
      <c r="J29" s="21"/>
      <c r="K29" s="1072"/>
      <c r="L29" s="1072"/>
      <c r="M29" s="21"/>
      <c r="N29" s="21"/>
    </row>
    <row r="30" spans="1:15" ht="18" customHeight="1">
      <c r="A30" s="21"/>
      <c r="B30" s="44"/>
      <c r="C30" s="44"/>
      <c r="D30" s="44"/>
      <c r="E30" s="44"/>
      <c r="F30" s="6"/>
      <c r="G30" s="21"/>
      <c r="H30" s="21"/>
      <c r="I30" s="1072"/>
      <c r="J30" s="21"/>
      <c r="K30" s="1072"/>
      <c r="L30" s="1072"/>
      <c r="M30" s="21"/>
      <c r="N30" s="21"/>
    </row>
    <row r="31" spans="1:15" ht="18" customHeight="1">
      <c r="A31" s="21"/>
      <c r="B31" s="20"/>
      <c r="C31" s="20"/>
      <c r="D31" s="21"/>
      <c r="E31" s="21"/>
      <c r="F31" s="6"/>
      <c r="G31" s="21"/>
      <c r="H31" s="21"/>
      <c r="I31" s="1072"/>
      <c r="J31" s="21"/>
      <c r="K31" s="1072"/>
      <c r="L31" s="1072"/>
      <c r="M31" s="21"/>
      <c r="N31" s="21"/>
    </row>
    <row r="32" spans="1:15" ht="18" customHeight="1">
      <c r="A32" s="21"/>
      <c r="B32" s="20"/>
      <c r="C32" s="20"/>
      <c r="D32" s="21"/>
      <c r="E32" s="21"/>
      <c r="F32" s="6"/>
      <c r="G32" s="21"/>
      <c r="H32" s="21"/>
      <c r="I32" s="1072"/>
      <c r="J32" s="21"/>
      <c r="K32" s="1072"/>
      <c r="L32" s="1072"/>
      <c r="M32" s="21"/>
      <c r="N32" s="21"/>
    </row>
    <row r="33" spans="131:159" ht="18" customHeight="1">
      <c r="EA33" s="211"/>
      <c r="EB33" s="211"/>
      <c r="EC33" s="211"/>
      <c r="ED33" s="211"/>
      <c r="EE33" s="211"/>
      <c r="EF33" s="211"/>
      <c r="EG33" s="211"/>
      <c r="EH33" s="211"/>
      <c r="EI33" s="211"/>
      <c r="EJ33" s="211"/>
      <c r="EK33" s="211"/>
      <c r="EL33" s="211"/>
      <c r="EM33" s="211"/>
      <c r="EN33" s="211"/>
      <c r="EO33" s="211"/>
      <c r="EP33" s="211"/>
      <c r="EQ33" s="211"/>
      <c r="ER33" s="211"/>
      <c r="ES33" s="211"/>
      <c r="ET33" s="211"/>
      <c r="EU33" s="211"/>
      <c r="EV33" s="211"/>
      <c r="EW33" s="211"/>
      <c r="EX33" s="211"/>
      <c r="EY33" s="211"/>
      <c r="EZ33" s="211"/>
      <c r="FA33" s="211"/>
      <c r="FB33" s="211"/>
      <c r="FC33" s="211"/>
    </row>
    <row r="34" spans="131:159" ht="18" customHeight="1">
      <c r="EA34" s="211"/>
      <c r="EB34" s="211"/>
      <c r="EC34" s="211"/>
      <c r="ED34" s="211"/>
      <c r="EE34" s="211"/>
      <c r="EF34" s="211"/>
      <c r="EG34" s="211"/>
      <c r="EH34" s="211"/>
      <c r="EI34" s="211"/>
      <c r="EJ34" s="211"/>
      <c r="EK34" s="211"/>
      <c r="EL34" s="211"/>
      <c r="EM34" s="211"/>
      <c r="EN34" s="211"/>
      <c r="EO34" s="211"/>
      <c r="EP34" s="211"/>
      <c r="EQ34" s="211"/>
      <c r="ER34" s="211"/>
      <c r="ES34" s="211"/>
      <c r="ET34" s="211"/>
      <c r="EU34" s="211"/>
      <c r="EV34" s="211"/>
      <c r="EW34" s="211"/>
      <c r="EX34" s="211"/>
      <c r="EY34" s="211"/>
      <c r="EZ34" s="211"/>
      <c r="FA34" s="211"/>
      <c r="FB34" s="211"/>
      <c r="FC34" s="211"/>
    </row>
    <row r="35" spans="131:159" ht="18" customHeight="1">
      <c r="EA35" s="211"/>
      <c r="EB35" s="211"/>
      <c r="EC35" s="211"/>
      <c r="ED35" s="211"/>
      <c r="EE35" s="211"/>
      <c r="EF35" s="211"/>
      <c r="EG35" s="211"/>
      <c r="EH35" s="211"/>
      <c r="EI35" s="211"/>
      <c r="EJ35" s="211"/>
      <c r="EK35" s="211"/>
      <c r="EL35" s="211"/>
      <c r="EM35" s="211"/>
      <c r="EN35" s="211"/>
      <c r="EO35" s="211"/>
      <c r="EP35" s="211"/>
      <c r="EQ35" s="211"/>
      <c r="ER35" s="211"/>
      <c r="ES35" s="211"/>
      <c r="ET35" s="211"/>
      <c r="EU35" s="211"/>
      <c r="EV35" s="211"/>
      <c r="EW35" s="211"/>
      <c r="EX35" s="211"/>
      <c r="EY35" s="211"/>
      <c r="EZ35" s="211"/>
      <c r="FA35" s="211"/>
      <c r="FB35" s="211"/>
      <c r="FC35" s="211"/>
    </row>
    <row r="36" spans="131:159" ht="18" customHeight="1">
      <c r="EA36" s="211"/>
      <c r="EB36" s="211"/>
      <c r="EC36" s="211"/>
      <c r="ED36" s="211"/>
      <c r="EE36" s="211"/>
      <c r="EF36" s="211"/>
      <c r="EG36" s="211"/>
      <c r="EH36" s="211"/>
      <c r="EI36" s="211"/>
      <c r="EJ36" s="211"/>
      <c r="EK36" s="211"/>
      <c r="EL36" s="211"/>
      <c r="EM36" s="211"/>
      <c r="EN36" s="211"/>
      <c r="EO36" s="211"/>
      <c r="EP36" s="211"/>
      <c r="EQ36" s="211"/>
      <c r="ER36" s="211"/>
      <c r="ES36" s="211"/>
      <c r="ET36" s="211"/>
      <c r="EU36" s="211"/>
      <c r="EV36" s="211"/>
      <c r="EW36" s="211"/>
      <c r="EX36" s="211"/>
      <c r="EY36" s="211"/>
      <c r="EZ36" s="211"/>
      <c r="FA36" s="211"/>
      <c r="FB36" s="211"/>
      <c r="FC36" s="211"/>
    </row>
    <row r="37" spans="131:159" ht="18" customHeight="1">
      <c r="EA37" s="211"/>
      <c r="EB37" s="211"/>
      <c r="EC37" s="211"/>
      <c r="ED37" s="211"/>
      <c r="EE37" s="211"/>
      <c r="EF37" s="211"/>
      <c r="EG37" s="211"/>
      <c r="EH37" s="211"/>
      <c r="EI37" s="211"/>
      <c r="EJ37" s="211"/>
      <c r="EK37" s="211"/>
      <c r="EL37" s="211"/>
      <c r="EM37" s="211"/>
      <c r="EN37" s="211"/>
      <c r="EO37" s="211"/>
      <c r="EP37" s="211"/>
      <c r="EQ37" s="211"/>
      <c r="ER37" s="211"/>
      <c r="ES37" s="211"/>
      <c r="ET37" s="211"/>
      <c r="EU37" s="211"/>
      <c r="EV37" s="211"/>
      <c r="EW37" s="211"/>
      <c r="EX37" s="211"/>
      <c r="EY37" s="211"/>
      <c r="EZ37" s="211"/>
      <c r="FA37" s="211"/>
      <c r="FB37" s="211"/>
      <c r="FC37" s="211"/>
    </row>
    <row r="38" spans="131:159" ht="18" customHeight="1"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  <c r="FA38" s="211"/>
      <c r="FB38" s="211"/>
      <c r="FC38" s="211"/>
    </row>
    <row r="39" spans="131:159" ht="18" customHeight="1"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</row>
    <row r="40" spans="131:159" ht="18" customHeight="1"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  <c r="ET40" s="211"/>
      <c r="EU40" s="211"/>
      <c r="EV40" s="211"/>
      <c r="EW40" s="211"/>
      <c r="EX40" s="211"/>
      <c r="EY40" s="211"/>
      <c r="EZ40" s="211"/>
      <c r="FA40" s="211"/>
      <c r="FB40" s="211"/>
      <c r="FC40" s="211"/>
    </row>
    <row r="41" spans="131:159" ht="18" customHeight="1"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  <c r="ET41" s="211"/>
      <c r="EU41" s="211"/>
      <c r="EV41" s="211"/>
      <c r="EW41" s="211"/>
      <c r="EX41" s="211"/>
      <c r="EY41" s="211"/>
      <c r="EZ41" s="211"/>
      <c r="FA41" s="211"/>
      <c r="FB41" s="211"/>
      <c r="FC41" s="211"/>
    </row>
    <row r="42" spans="131:159" ht="18" customHeight="1"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</row>
    <row r="43" spans="131:159" ht="18" customHeight="1"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  <c r="EK43" s="211"/>
      <c r="EL43" s="211"/>
      <c r="EM43" s="211"/>
      <c r="EN43" s="211"/>
      <c r="EO43" s="211"/>
      <c r="EP43" s="211"/>
      <c r="EQ43" s="211"/>
      <c r="ER43" s="211"/>
      <c r="ES43" s="211"/>
      <c r="ET43" s="211"/>
      <c r="EU43" s="211"/>
      <c r="EV43" s="211"/>
      <c r="EW43" s="211"/>
      <c r="EX43" s="211"/>
      <c r="EY43" s="211"/>
      <c r="EZ43" s="211"/>
      <c r="FA43" s="211"/>
      <c r="FB43" s="211"/>
      <c r="FC43" s="211"/>
    </row>
    <row r="44" spans="131:159" ht="18" customHeight="1"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  <c r="EK44" s="211"/>
      <c r="EL44" s="211"/>
      <c r="EM44" s="211"/>
      <c r="EN44" s="211"/>
      <c r="EO44" s="211"/>
      <c r="EP44" s="211"/>
      <c r="EQ44" s="211"/>
      <c r="ER44" s="211"/>
      <c r="ES44" s="211"/>
      <c r="ET44" s="211"/>
      <c r="EU44" s="211"/>
      <c r="EV44" s="211"/>
      <c r="EW44" s="211"/>
      <c r="EX44" s="211"/>
      <c r="EY44" s="211"/>
      <c r="EZ44" s="211"/>
      <c r="FA44" s="211"/>
      <c r="FB44" s="211"/>
      <c r="FC44" s="211"/>
    </row>
    <row r="45" spans="131:159" ht="18" customHeight="1"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211"/>
      <c r="EP45" s="211"/>
      <c r="EQ45" s="211"/>
      <c r="ER45" s="211"/>
      <c r="ES45" s="211"/>
      <c r="ET45" s="211"/>
      <c r="EU45" s="211"/>
      <c r="EV45" s="211"/>
      <c r="EW45" s="211"/>
      <c r="EX45" s="211"/>
      <c r="EY45" s="211"/>
      <c r="EZ45" s="211"/>
      <c r="FA45" s="211"/>
      <c r="FB45" s="211"/>
      <c r="FC45" s="211"/>
    </row>
    <row r="46" spans="131:159" ht="18" customHeight="1">
      <c r="EA46" s="211"/>
      <c r="EB46" s="211"/>
      <c r="EC46" s="211"/>
      <c r="ED46" s="211"/>
      <c r="EE46" s="211"/>
      <c r="EF46" s="211"/>
      <c r="EG46" s="211"/>
      <c r="EH46" s="211"/>
      <c r="EI46" s="211"/>
      <c r="EJ46" s="211"/>
      <c r="EK46" s="211"/>
      <c r="EL46" s="211"/>
      <c r="EM46" s="211"/>
      <c r="EN46" s="211"/>
      <c r="EO46" s="211"/>
      <c r="EP46" s="211"/>
      <c r="EQ46" s="211"/>
      <c r="ER46" s="211"/>
      <c r="ES46" s="211"/>
      <c r="ET46" s="211"/>
      <c r="EU46" s="211"/>
      <c r="EV46" s="211"/>
      <c r="EW46" s="211"/>
      <c r="EX46" s="211"/>
      <c r="EY46" s="211"/>
      <c r="EZ46" s="211"/>
      <c r="FA46" s="211"/>
      <c r="FB46" s="211"/>
      <c r="FC46" s="211"/>
    </row>
    <row r="47" spans="131:159" ht="18" customHeight="1">
      <c r="EA47" s="211"/>
      <c r="EB47" s="211"/>
      <c r="EC47" s="211"/>
      <c r="ED47" s="211"/>
      <c r="EE47" s="211"/>
      <c r="EF47" s="211"/>
      <c r="EG47" s="211"/>
      <c r="EH47" s="211"/>
      <c r="EI47" s="211"/>
      <c r="EJ47" s="211"/>
      <c r="EK47" s="211"/>
      <c r="EL47" s="211"/>
      <c r="EM47" s="211"/>
      <c r="EN47" s="211"/>
      <c r="EO47" s="211"/>
      <c r="EP47" s="211"/>
      <c r="EQ47" s="211"/>
      <c r="ER47" s="211"/>
      <c r="ES47" s="211"/>
      <c r="ET47" s="211"/>
      <c r="EU47" s="211"/>
      <c r="EV47" s="211"/>
      <c r="EW47" s="211"/>
      <c r="EX47" s="211"/>
      <c r="EY47" s="211"/>
      <c r="EZ47" s="211"/>
      <c r="FA47" s="211"/>
      <c r="FB47" s="211"/>
      <c r="FC47" s="211"/>
    </row>
    <row r="48" spans="131:159" ht="18" customHeight="1"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</row>
    <row r="49" spans="131:159" ht="18" customHeight="1"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</row>
    <row r="50" spans="131:159" ht="18" customHeight="1"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  <c r="FC50" s="211"/>
    </row>
    <row r="51" spans="131:159" ht="18" customHeight="1">
      <c r="EA51" s="211"/>
      <c r="EB51" s="211"/>
      <c r="EC51" s="211"/>
      <c r="ED51" s="211"/>
      <c r="EE51" s="211"/>
      <c r="EF51" s="211"/>
      <c r="EG51" s="211"/>
      <c r="EH51" s="211"/>
      <c r="EI51" s="211"/>
      <c r="EJ51" s="211"/>
      <c r="EK51" s="211"/>
      <c r="EL51" s="211"/>
      <c r="EM51" s="211"/>
      <c r="EN51" s="211"/>
      <c r="EO51" s="211"/>
      <c r="EP51" s="211"/>
      <c r="EQ51" s="211"/>
      <c r="ER51" s="211"/>
      <c r="ES51" s="211"/>
      <c r="ET51" s="211"/>
      <c r="EU51" s="211"/>
      <c r="EV51" s="211"/>
      <c r="EW51" s="211"/>
      <c r="EX51" s="211"/>
      <c r="EY51" s="211"/>
      <c r="EZ51" s="211"/>
      <c r="FA51" s="211"/>
      <c r="FB51" s="211"/>
      <c r="FC51" s="211"/>
    </row>
    <row r="52" spans="131:159" ht="18" customHeight="1">
      <c r="EA52" s="211"/>
      <c r="EB52" s="211"/>
      <c r="EC52" s="211"/>
      <c r="ED52" s="211"/>
      <c r="EE52" s="211"/>
      <c r="EF52" s="211"/>
      <c r="EG52" s="211"/>
      <c r="EH52" s="211"/>
      <c r="EI52" s="211"/>
      <c r="EJ52" s="211"/>
      <c r="EK52" s="211"/>
      <c r="EL52" s="211"/>
      <c r="EM52" s="211"/>
      <c r="EN52" s="211"/>
      <c r="EO52" s="211"/>
      <c r="EP52" s="211"/>
      <c r="EQ52" s="211"/>
      <c r="ER52" s="211"/>
      <c r="ES52" s="211"/>
      <c r="ET52" s="211"/>
      <c r="EU52" s="211"/>
      <c r="EV52" s="211"/>
      <c r="EW52" s="211"/>
      <c r="EX52" s="211"/>
      <c r="EY52" s="211"/>
      <c r="EZ52" s="211"/>
      <c r="FA52" s="211"/>
      <c r="FB52" s="211"/>
      <c r="FC52" s="211"/>
    </row>
    <row r="53" spans="131:159" ht="18" customHeight="1"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  <c r="ET53" s="211"/>
      <c r="EU53" s="211"/>
      <c r="EV53" s="211"/>
      <c r="EW53" s="211"/>
      <c r="EX53" s="211"/>
      <c r="EY53" s="211"/>
      <c r="EZ53" s="211"/>
      <c r="FA53" s="211"/>
      <c r="FB53" s="211"/>
      <c r="FC53" s="211"/>
    </row>
    <row r="54" spans="131:159" ht="18" customHeight="1"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  <c r="FA54" s="211"/>
      <c r="FB54" s="211"/>
      <c r="FC54" s="211"/>
    </row>
    <row r="55" spans="131:159" ht="18" customHeight="1">
      <c r="EA55" s="211"/>
      <c r="EB55" s="211"/>
      <c r="EC55" s="211"/>
      <c r="ED55" s="211"/>
      <c r="EE55" s="211"/>
      <c r="EF55" s="211"/>
      <c r="EG55" s="211"/>
      <c r="EH55" s="211"/>
      <c r="EI55" s="211"/>
      <c r="EJ55" s="211"/>
      <c r="EK55" s="211"/>
      <c r="EL55" s="211"/>
      <c r="EM55" s="211"/>
      <c r="EN55" s="211"/>
      <c r="EO55" s="211"/>
      <c r="EP55" s="211"/>
      <c r="EQ55" s="211"/>
      <c r="ER55" s="211"/>
      <c r="ES55" s="211"/>
      <c r="ET55" s="211"/>
      <c r="EU55" s="211"/>
      <c r="EV55" s="211"/>
      <c r="EW55" s="211"/>
      <c r="EX55" s="211"/>
      <c r="EY55" s="211"/>
      <c r="EZ55" s="211"/>
      <c r="FA55" s="211"/>
      <c r="FB55" s="211"/>
      <c r="FC55" s="211"/>
    </row>
    <row r="56" spans="131:159" ht="18" customHeight="1"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  <c r="ET56" s="211"/>
      <c r="EU56" s="211"/>
      <c r="EV56" s="211"/>
      <c r="EW56" s="211"/>
      <c r="EX56" s="211"/>
      <c r="EY56" s="211"/>
      <c r="EZ56" s="211"/>
      <c r="FA56" s="211"/>
      <c r="FB56" s="211"/>
      <c r="FC56" s="211"/>
    </row>
    <row r="57" spans="131:159" ht="18" customHeight="1">
      <c r="EA57" s="211"/>
      <c r="EB57" s="211"/>
      <c r="EC57" s="211"/>
      <c r="ED57" s="211"/>
      <c r="EE57" s="211"/>
      <c r="EF57" s="211"/>
      <c r="EG57" s="211"/>
      <c r="EH57" s="211"/>
      <c r="EI57" s="211"/>
      <c r="EJ57" s="211"/>
      <c r="EK57" s="211"/>
      <c r="EL57" s="211"/>
      <c r="EM57" s="211"/>
      <c r="EN57" s="211"/>
      <c r="EO57" s="211"/>
      <c r="EP57" s="211"/>
      <c r="EQ57" s="211"/>
      <c r="ER57" s="211"/>
      <c r="ES57" s="211"/>
      <c r="ET57" s="211"/>
      <c r="EU57" s="211"/>
      <c r="EV57" s="211"/>
      <c r="EW57" s="211"/>
      <c r="EX57" s="211"/>
      <c r="EY57" s="211"/>
      <c r="EZ57" s="211"/>
      <c r="FA57" s="211"/>
      <c r="FB57" s="211"/>
      <c r="FC57" s="211"/>
    </row>
    <row r="58" spans="131:159" ht="18" customHeight="1">
      <c r="EA58" s="211"/>
      <c r="EB58" s="211"/>
      <c r="EC58" s="211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211"/>
      <c r="EQ58" s="211"/>
      <c r="ER58" s="211"/>
      <c r="ES58" s="211"/>
      <c r="ET58" s="211"/>
      <c r="EU58" s="211"/>
      <c r="EV58" s="211"/>
      <c r="EW58" s="211"/>
      <c r="EX58" s="211"/>
      <c r="EY58" s="211"/>
      <c r="EZ58" s="211"/>
      <c r="FA58" s="211"/>
      <c r="FB58" s="211"/>
      <c r="FC58" s="211"/>
    </row>
    <row r="59" spans="131:159" ht="18" customHeight="1"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  <c r="FC59" s="211"/>
    </row>
    <row r="60" spans="131:159" ht="18" customHeight="1"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  <c r="FC60" s="211"/>
    </row>
    <row r="61" spans="131:159" ht="18" customHeight="1">
      <c r="EA61" s="211"/>
      <c r="EB61" s="211"/>
      <c r="EC61" s="211"/>
      <c r="ED61" s="211"/>
      <c r="EE61" s="211"/>
      <c r="EF61" s="211"/>
      <c r="EG61" s="211"/>
      <c r="EH61" s="211"/>
      <c r="EI61" s="211"/>
      <c r="EJ61" s="211"/>
      <c r="EK61" s="211"/>
      <c r="EL61" s="211"/>
      <c r="EM61" s="211"/>
      <c r="EN61" s="211"/>
      <c r="EO61" s="211"/>
      <c r="EP61" s="211"/>
      <c r="EQ61" s="211"/>
      <c r="ER61" s="211"/>
      <c r="ES61" s="211"/>
      <c r="ET61" s="211"/>
      <c r="EU61" s="211"/>
      <c r="EV61" s="211"/>
      <c r="EW61" s="211"/>
      <c r="EX61" s="211"/>
      <c r="EY61" s="211"/>
      <c r="EZ61" s="211"/>
      <c r="FA61" s="211"/>
      <c r="FB61" s="211"/>
      <c r="FC61" s="211"/>
    </row>
    <row r="62" spans="131:159" ht="18" customHeight="1"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  <c r="FA62" s="211"/>
      <c r="FB62" s="211"/>
      <c r="FC62" s="211"/>
    </row>
    <row r="63" spans="131:159" ht="18" customHeight="1"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</row>
    <row r="64" spans="131:159" ht="18" customHeight="1"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</row>
    <row r="65" spans="131:159" ht="18" customHeight="1">
      <c r="EA65" s="211"/>
      <c r="EB65" s="211"/>
      <c r="EC65" s="211"/>
      <c r="ED65" s="211"/>
      <c r="EE65" s="211"/>
      <c r="EF65" s="211"/>
      <c r="EG65" s="211"/>
      <c r="EH65" s="211"/>
      <c r="EI65" s="211"/>
      <c r="EJ65" s="211"/>
      <c r="EK65" s="211"/>
      <c r="EL65" s="211"/>
      <c r="EM65" s="211"/>
      <c r="EN65" s="211"/>
      <c r="EO65" s="211"/>
      <c r="EP65" s="211"/>
      <c r="EQ65" s="211"/>
      <c r="ER65" s="211"/>
      <c r="ES65" s="211"/>
      <c r="ET65" s="211"/>
      <c r="EU65" s="211"/>
      <c r="EV65" s="211"/>
      <c r="EW65" s="211"/>
      <c r="EX65" s="211"/>
      <c r="EY65" s="211"/>
      <c r="EZ65" s="211"/>
      <c r="FA65" s="211"/>
      <c r="FB65" s="211"/>
      <c r="FC65" s="211"/>
    </row>
    <row r="66" spans="131:159" ht="18" customHeight="1">
      <c r="EA66" s="211"/>
      <c r="EB66" s="211"/>
      <c r="EC66" s="211"/>
      <c r="ED66" s="211"/>
      <c r="EE66" s="211"/>
      <c r="EF66" s="211"/>
      <c r="EG66" s="211"/>
      <c r="EH66" s="211"/>
      <c r="EI66" s="211"/>
      <c r="EJ66" s="211"/>
      <c r="EK66" s="211"/>
      <c r="EL66" s="211"/>
      <c r="EM66" s="211"/>
      <c r="EN66" s="211"/>
      <c r="EO66" s="211"/>
      <c r="EP66" s="211"/>
      <c r="EQ66" s="211"/>
      <c r="ER66" s="211"/>
      <c r="ES66" s="211"/>
      <c r="ET66" s="211"/>
      <c r="EU66" s="211"/>
      <c r="EV66" s="211"/>
      <c r="EW66" s="211"/>
      <c r="EX66" s="211"/>
      <c r="EY66" s="211"/>
      <c r="EZ66" s="211"/>
      <c r="FA66" s="211"/>
      <c r="FB66" s="211"/>
      <c r="FC66" s="211"/>
    </row>
    <row r="67" spans="131:159" ht="18" customHeight="1">
      <c r="EA67" s="211"/>
      <c r="EB67" s="211"/>
      <c r="EC67" s="211"/>
      <c r="ED67" s="211"/>
      <c r="EE67" s="211"/>
      <c r="EF67" s="211"/>
      <c r="EG67" s="211"/>
      <c r="EH67" s="211"/>
      <c r="EI67" s="211"/>
      <c r="EJ67" s="211"/>
      <c r="EK67" s="211"/>
      <c r="EL67" s="211"/>
      <c r="EM67" s="211"/>
      <c r="EN67" s="211"/>
      <c r="EO67" s="211"/>
      <c r="EP67" s="211"/>
      <c r="EQ67" s="211"/>
      <c r="ER67" s="211"/>
      <c r="ES67" s="211"/>
      <c r="ET67" s="211"/>
      <c r="EU67" s="211"/>
      <c r="EV67" s="211"/>
      <c r="EW67" s="211"/>
      <c r="EX67" s="211"/>
      <c r="EY67" s="211"/>
      <c r="EZ67" s="211"/>
      <c r="FA67" s="211"/>
      <c r="FB67" s="211"/>
      <c r="FC67" s="211"/>
    </row>
    <row r="68" spans="131:159">
      <c r="EA68" s="211"/>
      <c r="EB68" s="211"/>
      <c r="EC68" s="211"/>
      <c r="ED68" s="211"/>
      <c r="EE68" s="211"/>
      <c r="EF68" s="211"/>
      <c r="EG68" s="211"/>
      <c r="EH68" s="211"/>
      <c r="EI68" s="211"/>
      <c r="EJ68" s="211"/>
      <c r="EK68" s="211"/>
      <c r="EL68" s="211"/>
      <c r="EM68" s="211"/>
      <c r="EN68" s="211"/>
      <c r="EO68" s="211"/>
      <c r="EP68" s="211"/>
      <c r="EQ68" s="211"/>
      <c r="ER68" s="211"/>
      <c r="ES68" s="211"/>
      <c r="ET68" s="211"/>
      <c r="EU68" s="211"/>
      <c r="EV68" s="211"/>
      <c r="EW68" s="211"/>
      <c r="EX68" s="211"/>
      <c r="EY68" s="211"/>
      <c r="EZ68" s="211"/>
      <c r="FA68" s="211"/>
      <c r="FB68" s="211"/>
      <c r="FC68" s="211"/>
    </row>
    <row r="69" spans="131:159">
      <c r="EA69" s="211"/>
      <c r="EB69" s="211"/>
      <c r="EC69" s="211"/>
      <c r="ED69" s="211"/>
      <c r="EE69" s="211"/>
      <c r="EF69" s="211"/>
      <c r="EG69" s="211"/>
      <c r="EH69" s="211"/>
      <c r="EI69" s="211"/>
      <c r="EJ69" s="211"/>
      <c r="EK69" s="211"/>
      <c r="EL69" s="211"/>
      <c r="EM69" s="211"/>
      <c r="EN69" s="211"/>
      <c r="EO69" s="211"/>
      <c r="EP69" s="211"/>
      <c r="EQ69" s="211"/>
      <c r="ER69" s="211"/>
      <c r="ES69" s="211"/>
      <c r="ET69" s="211"/>
      <c r="EU69" s="211"/>
      <c r="EV69" s="211"/>
      <c r="EW69" s="211"/>
      <c r="EX69" s="211"/>
      <c r="EY69" s="211"/>
      <c r="EZ69" s="211"/>
      <c r="FA69" s="211"/>
      <c r="FB69" s="211"/>
      <c r="FC69" s="211"/>
    </row>
    <row r="70" spans="131:159">
      <c r="EA70" s="211"/>
      <c r="EB70" s="211"/>
      <c r="EC70" s="211"/>
      <c r="ED70" s="211"/>
      <c r="EE70" s="211"/>
      <c r="EF70" s="211"/>
      <c r="EG70" s="211"/>
      <c r="EH70" s="211"/>
      <c r="EI70" s="211"/>
      <c r="EJ70" s="211"/>
      <c r="EK70" s="211"/>
      <c r="EL70" s="211"/>
      <c r="EM70" s="211"/>
      <c r="EN70" s="211"/>
      <c r="EO70" s="211"/>
      <c r="EP70" s="211"/>
      <c r="EQ70" s="211"/>
      <c r="ER70" s="211"/>
      <c r="ES70" s="211"/>
      <c r="ET70" s="211"/>
      <c r="EU70" s="211"/>
      <c r="EV70" s="211"/>
      <c r="EW70" s="211"/>
      <c r="EX70" s="211"/>
      <c r="EY70" s="211"/>
      <c r="EZ70" s="211"/>
      <c r="FA70" s="211"/>
      <c r="FB70" s="211"/>
      <c r="FC70" s="211"/>
    </row>
    <row r="71" spans="131:159">
      <c r="EA71" s="211"/>
      <c r="EB71" s="211"/>
      <c r="EC71" s="211"/>
      <c r="ED71" s="211"/>
      <c r="EE71" s="211"/>
      <c r="EF71" s="211"/>
      <c r="EG71" s="211"/>
      <c r="EH71" s="211"/>
      <c r="EI71" s="211"/>
      <c r="EJ71" s="211"/>
      <c r="EK71" s="211"/>
      <c r="EL71" s="211"/>
      <c r="EM71" s="211"/>
      <c r="EN71" s="211"/>
      <c r="EO71" s="211"/>
      <c r="EP71" s="211"/>
      <c r="EQ71" s="211"/>
      <c r="ER71" s="211"/>
      <c r="ES71" s="211"/>
      <c r="ET71" s="211"/>
      <c r="EU71" s="211"/>
      <c r="EV71" s="211"/>
      <c r="EW71" s="211"/>
      <c r="EX71" s="211"/>
      <c r="EY71" s="211"/>
      <c r="EZ71" s="211"/>
      <c r="FA71" s="211"/>
      <c r="FB71" s="211"/>
      <c r="FC71" s="211"/>
    </row>
    <row r="72" spans="131:159">
      <c r="EA72" s="211"/>
      <c r="EB72" s="211"/>
      <c r="EC72" s="211"/>
      <c r="ED72" s="211"/>
      <c r="EE72" s="211"/>
      <c r="EF72" s="211"/>
      <c r="EG72" s="211"/>
      <c r="EH72" s="211"/>
      <c r="EI72" s="211"/>
      <c r="EJ72" s="211"/>
      <c r="EK72" s="211"/>
      <c r="EL72" s="211"/>
      <c r="EM72" s="211"/>
      <c r="EN72" s="211"/>
      <c r="EO72" s="211"/>
      <c r="EP72" s="211"/>
      <c r="EQ72" s="211"/>
      <c r="ER72" s="211"/>
      <c r="ES72" s="211"/>
      <c r="ET72" s="211"/>
      <c r="EU72" s="211"/>
      <c r="EV72" s="211"/>
      <c r="EW72" s="211"/>
      <c r="EX72" s="211"/>
      <c r="EY72" s="211"/>
      <c r="EZ72" s="211"/>
      <c r="FA72" s="211"/>
      <c r="FB72" s="211"/>
      <c r="FC72" s="211"/>
    </row>
    <row r="73" spans="131:159">
      <c r="EA73" s="211"/>
      <c r="EB73" s="211"/>
      <c r="EC73" s="211"/>
      <c r="ED73" s="211"/>
      <c r="EE73" s="211"/>
      <c r="EF73" s="211"/>
      <c r="EG73" s="211"/>
      <c r="EH73" s="211"/>
      <c r="EI73" s="211"/>
      <c r="EJ73" s="211"/>
      <c r="EK73" s="211"/>
      <c r="EL73" s="211"/>
      <c r="EM73" s="211"/>
      <c r="EN73" s="211"/>
      <c r="EO73" s="211"/>
      <c r="EP73" s="211"/>
      <c r="EQ73" s="211"/>
      <c r="ER73" s="211"/>
      <c r="ES73" s="211"/>
      <c r="ET73" s="211"/>
      <c r="EU73" s="211"/>
      <c r="EV73" s="211"/>
      <c r="EW73" s="211"/>
      <c r="EX73" s="211"/>
      <c r="EY73" s="211"/>
      <c r="EZ73" s="211"/>
      <c r="FA73" s="211"/>
      <c r="FB73" s="211"/>
      <c r="FC73" s="211"/>
    </row>
    <row r="74" spans="131:159">
      <c r="EA74" s="211"/>
      <c r="EB74" s="211"/>
      <c r="EC74" s="211"/>
      <c r="ED74" s="211"/>
      <c r="EE74" s="211"/>
      <c r="EF74" s="211"/>
      <c r="EG74" s="211"/>
      <c r="EH74" s="211"/>
      <c r="EI74" s="211"/>
      <c r="EJ74" s="211"/>
      <c r="EK74" s="211"/>
      <c r="EL74" s="211"/>
      <c r="EM74" s="211"/>
      <c r="EN74" s="211"/>
      <c r="EO74" s="211"/>
      <c r="EP74" s="211"/>
      <c r="EQ74" s="211"/>
      <c r="ER74" s="211"/>
      <c r="ES74" s="211"/>
      <c r="ET74" s="211"/>
      <c r="EU74" s="211"/>
      <c r="EV74" s="211"/>
      <c r="EW74" s="211"/>
      <c r="EX74" s="211"/>
      <c r="EY74" s="211"/>
      <c r="EZ74" s="211"/>
      <c r="FA74" s="211"/>
      <c r="FB74" s="211"/>
      <c r="FC74" s="211"/>
    </row>
    <row r="75" spans="131:159">
      <c r="EA75" s="211"/>
      <c r="EB75" s="211"/>
      <c r="EC75" s="211"/>
      <c r="ED75" s="211"/>
      <c r="EE75" s="211"/>
      <c r="EF75" s="211"/>
      <c r="EG75" s="211"/>
      <c r="EH75" s="211"/>
      <c r="EI75" s="211"/>
      <c r="EJ75" s="211"/>
      <c r="EK75" s="211"/>
      <c r="EL75" s="211"/>
      <c r="EM75" s="211"/>
      <c r="EN75" s="211"/>
      <c r="EO75" s="211"/>
      <c r="EP75" s="211"/>
      <c r="EQ75" s="211"/>
      <c r="ER75" s="211"/>
      <c r="ES75" s="211"/>
      <c r="ET75" s="211"/>
      <c r="EU75" s="211"/>
      <c r="EV75" s="211"/>
      <c r="EW75" s="211"/>
      <c r="EX75" s="211"/>
      <c r="EY75" s="211"/>
      <c r="EZ75" s="211"/>
      <c r="FA75" s="211"/>
      <c r="FB75" s="211"/>
      <c r="FC75" s="211"/>
    </row>
    <row r="76" spans="131:159">
      <c r="EA76" s="211"/>
      <c r="EB76" s="211"/>
      <c r="EC76" s="211"/>
      <c r="ED76" s="211"/>
      <c r="EE76" s="211"/>
      <c r="EF76" s="211"/>
      <c r="EG76" s="211"/>
      <c r="EH76" s="211"/>
      <c r="EI76" s="211"/>
      <c r="EJ76" s="211"/>
      <c r="EK76" s="211"/>
      <c r="EL76" s="211"/>
      <c r="EM76" s="211"/>
      <c r="EN76" s="211"/>
      <c r="EO76" s="211"/>
      <c r="EP76" s="211"/>
      <c r="EQ76" s="211"/>
      <c r="ER76" s="211"/>
      <c r="ES76" s="211"/>
      <c r="ET76" s="211"/>
      <c r="EU76" s="211"/>
      <c r="EV76" s="211"/>
      <c r="EW76" s="211"/>
      <c r="EX76" s="211"/>
      <c r="EY76" s="211"/>
      <c r="EZ76" s="211"/>
      <c r="FA76" s="211"/>
      <c r="FB76" s="211"/>
      <c r="FC76" s="211"/>
    </row>
    <row r="77" spans="131:159">
      <c r="EA77" s="211"/>
      <c r="EB77" s="211"/>
      <c r="EC77" s="211"/>
      <c r="ED77" s="211"/>
      <c r="EE77" s="211"/>
      <c r="EF77" s="211"/>
      <c r="EG77" s="211"/>
      <c r="EH77" s="211"/>
      <c r="EI77" s="211"/>
      <c r="EJ77" s="211"/>
      <c r="EK77" s="211"/>
      <c r="EL77" s="211"/>
      <c r="EM77" s="211"/>
      <c r="EN77" s="211"/>
      <c r="EO77" s="211"/>
      <c r="EP77" s="211"/>
      <c r="EQ77" s="211"/>
      <c r="ER77" s="211"/>
      <c r="ES77" s="211"/>
      <c r="ET77" s="211"/>
      <c r="EU77" s="211"/>
      <c r="EV77" s="211"/>
      <c r="EW77" s="211"/>
      <c r="EX77" s="211"/>
      <c r="EY77" s="211"/>
      <c r="EZ77" s="211"/>
      <c r="FA77" s="211"/>
      <c r="FB77" s="211"/>
      <c r="FC77" s="211"/>
    </row>
    <row r="78" spans="131:159">
      <c r="EA78" s="211"/>
      <c r="EB78" s="211"/>
      <c r="EC78" s="211"/>
      <c r="ED78" s="211"/>
      <c r="EE78" s="211"/>
      <c r="EF78" s="211"/>
      <c r="EG78" s="211"/>
      <c r="EH78" s="211"/>
      <c r="EI78" s="211"/>
      <c r="EJ78" s="211"/>
      <c r="EK78" s="211"/>
      <c r="EL78" s="211"/>
      <c r="EM78" s="211"/>
      <c r="EN78" s="211"/>
      <c r="EO78" s="211"/>
      <c r="EP78" s="211"/>
      <c r="EQ78" s="211"/>
      <c r="ER78" s="211"/>
      <c r="ES78" s="211"/>
      <c r="ET78" s="211"/>
      <c r="EU78" s="211"/>
      <c r="EV78" s="211"/>
      <c r="EW78" s="211"/>
      <c r="EX78" s="211"/>
      <c r="EY78" s="211"/>
      <c r="EZ78" s="211"/>
      <c r="FA78" s="211"/>
      <c r="FB78" s="211"/>
      <c r="FC78" s="211"/>
    </row>
  </sheetData>
  <mergeCells count="31">
    <mergeCell ref="F12:F14"/>
    <mergeCell ref="A7:A8"/>
    <mergeCell ref="B8:C8"/>
    <mergeCell ref="E12:E14"/>
    <mergeCell ref="C12:D14"/>
    <mergeCell ref="A12:B14"/>
    <mergeCell ref="C18:D18"/>
    <mergeCell ref="A18:B18"/>
    <mergeCell ref="C15:D15"/>
    <mergeCell ref="A21:B21"/>
    <mergeCell ref="A22:B22"/>
    <mergeCell ref="C21:F21"/>
    <mergeCell ref="C22:F22"/>
    <mergeCell ref="A19:B19"/>
    <mergeCell ref="C19:D19"/>
    <mergeCell ref="A15:B17"/>
    <mergeCell ref="C16:D16"/>
    <mergeCell ref="C17:D17"/>
    <mergeCell ref="J8:L8"/>
    <mergeCell ref="J7:L7"/>
    <mergeCell ref="A5:C6"/>
    <mergeCell ref="D5:D6"/>
    <mergeCell ref="E5:E6"/>
    <mergeCell ref="B7:C7"/>
    <mergeCell ref="M5:M6"/>
    <mergeCell ref="N5:N6"/>
    <mergeCell ref="F5:F6"/>
    <mergeCell ref="G5:G6"/>
    <mergeCell ref="H5:H6"/>
    <mergeCell ref="I5:I6"/>
    <mergeCell ref="J5:L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7" orientation="landscape" useFirstPageNumber="1" r:id="rId1"/>
  <headerFooter>
    <oddFooter>&amp;L&amp;P&amp;R&amp;G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Y25"/>
  <sheetViews>
    <sheetView view="pageBreakPreview" zoomScale="70" zoomScaleNormal="70" zoomScaleSheetLayoutView="7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471" customWidth="1"/>
    <col min="2" max="5" width="11.7109375" style="471" customWidth="1"/>
    <col min="6" max="6" width="16" style="2" customWidth="1"/>
    <col min="7" max="9" width="24.7109375" style="471" customWidth="1"/>
    <col min="10" max="12" width="15.7109375" style="471" customWidth="1"/>
    <col min="13" max="13" width="24.7109375" style="471" customWidth="1"/>
    <col min="14" max="14" width="20.7109375" style="471" customWidth="1"/>
    <col min="15" max="16384" width="8.85546875" style="471"/>
  </cols>
  <sheetData>
    <row r="1" spans="1:25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780"/>
      <c r="M1" s="24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</row>
    <row r="2" spans="1:25" ht="18" customHeight="1">
      <c r="A2" s="5"/>
      <c r="B2" s="1021"/>
      <c r="C2" s="1021"/>
      <c r="D2" s="1021"/>
      <c r="E2" s="1021"/>
      <c r="F2" s="423"/>
      <c r="G2" s="13"/>
      <c r="H2" s="13"/>
      <c r="I2" s="13"/>
      <c r="J2" s="13"/>
      <c r="K2" s="13"/>
      <c r="L2" s="13"/>
      <c r="M2" s="13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</row>
    <row r="3" spans="1:25" ht="90" customHeight="1">
      <c r="A3" s="7"/>
      <c r="B3" s="752"/>
      <c r="C3" s="752"/>
      <c r="D3" s="2193"/>
      <c r="E3" s="2193"/>
      <c r="F3" s="8"/>
      <c r="G3" s="211"/>
      <c r="H3" s="211"/>
      <c r="I3" s="211"/>
      <c r="J3" s="381"/>
      <c r="K3" s="381"/>
      <c r="L3" s="669"/>
      <c r="M3" s="669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</row>
    <row r="4" spans="1:25">
      <c r="A4" s="1021"/>
      <c r="B4" s="17" t="s">
        <v>54</v>
      </c>
      <c r="C4" s="17"/>
      <c r="D4" s="1021"/>
      <c r="E4" s="1021"/>
      <c r="F4" s="6"/>
      <c r="G4" s="13"/>
      <c r="H4" s="13"/>
      <c r="I4" s="13"/>
      <c r="J4" s="13"/>
      <c r="K4" s="13"/>
      <c r="L4" s="13"/>
      <c r="M4" s="13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</row>
    <row r="5" spans="1:25" ht="30" customHeight="1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34</v>
      </c>
      <c r="G5" s="2990" t="s">
        <v>1141</v>
      </c>
      <c r="H5" s="2990" t="s">
        <v>1142</v>
      </c>
      <c r="I5" s="2992" t="s">
        <v>1143</v>
      </c>
      <c r="J5" s="3067" t="s">
        <v>1144</v>
      </c>
      <c r="K5" s="3068"/>
      <c r="L5" s="3069"/>
      <c r="M5" s="669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</row>
    <row r="6" spans="1:25" ht="30" customHeight="1">
      <c r="A6" s="2946"/>
      <c r="B6" s="2947"/>
      <c r="C6" s="2948"/>
      <c r="D6" s="2994"/>
      <c r="E6" s="2994"/>
      <c r="F6" s="2994"/>
      <c r="G6" s="2991"/>
      <c r="H6" s="2991"/>
      <c r="I6" s="2993"/>
      <c r="J6" s="3070"/>
      <c r="K6" s="3071"/>
      <c r="L6" s="3072"/>
      <c r="M6" s="669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</row>
    <row r="7" spans="1:25" s="1021" customFormat="1" ht="30" customHeight="1">
      <c r="A7" s="2884" t="s">
        <v>1952</v>
      </c>
      <c r="B7" s="2884"/>
      <c r="C7" s="2884"/>
      <c r="D7" s="2045" t="s">
        <v>1953</v>
      </c>
      <c r="E7" s="2026" t="s">
        <v>31</v>
      </c>
      <c r="F7" s="2025" t="s">
        <v>0</v>
      </c>
      <c r="G7" s="2058">
        <f>'Полотна база'!U9*(1+скидки_наценки!$B$30)*скидки_наценки!$D$11*скидки_наценки!$F$11/скидки_наценки!$B$4</f>
        <v>23200</v>
      </c>
      <c r="H7" s="2058">
        <f>'Полотна база'!U9*(1+скидки_наценки!$B$30)*скидки_наценки!$D$11*скидки_наценки!$F$11/скидки_наценки!$B$4</f>
        <v>23200</v>
      </c>
      <c r="I7" s="2058">
        <f>'Полотна база'!U9*(1+скидки_наценки!$B$30)*скидки_наценки!$D$11*скидки_наценки!$F$11/скидки_наценки!$B$4</f>
        <v>23200</v>
      </c>
      <c r="J7" s="3073">
        <f>'Полотна база'!U9*(1+скидки_наценки!$B$30)*скидки_наценки!$D$11*скидки_наценки!$F$11/скидки_наценки!$B$4</f>
        <v>23200</v>
      </c>
      <c r="K7" s="3073"/>
      <c r="L7" s="3073"/>
      <c r="M7" s="66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</row>
    <row r="8" spans="1:25" ht="15" customHeight="1">
      <c r="F8" s="47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</row>
    <row r="9" spans="1:25" ht="18" customHeight="1">
      <c r="A9" s="16"/>
      <c r="B9" s="18"/>
      <c r="C9" s="18"/>
      <c r="D9" s="15"/>
      <c r="E9" s="15"/>
      <c r="F9" s="341"/>
      <c r="G9" s="341"/>
      <c r="H9" s="341"/>
      <c r="I9" s="341"/>
      <c r="J9" s="341"/>
      <c r="K9" s="341"/>
      <c r="L9" s="341"/>
      <c r="M9" s="341"/>
    </row>
    <row r="10" spans="1:25" ht="18" customHeight="1">
      <c r="B10" s="11"/>
      <c r="C10" s="11"/>
      <c r="F10" s="669"/>
      <c r="G10" s="669"/>
      <c r="H10" s="669"/>
      <c r="I10" s="669"/>
      <c r="J10" s="669"/>
      <c r="K10" s="669"/>
      <c r="L10" s="669"/>
      <c r="M10" s="669"/>
    </row>
    <row r="11" spans="1:25" ht="90" customHeight="1">
      <c r="B11" s="11"/>
      <c r="C11" s="11"/>
      <c r="F11" s="669"/>
      <c r="G11" s="669"/>
      <c r="H11" s="669"/>
      <c r="I11" s="669"/>
      <c r="J11" s="669"/>
      <c r="K11" s="341"/>
      <c r="L11" s="341"/>
      <c r="M11" s="341"/>
    </row>
    <row r="12" spans="1:25">
      <c r="A12" s="1021"/>
      <c r="B12" s="17" t="s">
        <v>24</v>
      </c>
      <c r="C12" s="17"/>
      <c r="D12" s="1021"/>
      <c r="E12" s="1021"/>
      <c r="F12" s="13"/>
      <c r="G12" s="423"/>
      <c r="H12" s="13"/>
      <c r="I12" s="13"/>
      <c r="J12" s="13"/>
      <c r="K12" s="669"/>
      <c r="L12" s="669"/>
      <c r="M12" s="669"/>
    </row>
    <row r="13" spans="1:25">
      <c r="A13" s="2881" t="s">
        <v>36</v>
      </c>
      <c r="B13" s="2883"/>
      <c r="C13" s="2881" t="s">
        <v>33</v>
      </c>
      <c r="D13" s="2883"/>
      <c r="E13" s="2988" t="s">
        <v>37</v>
      </c>
      <c r="F13" s="2988" t="s">
        <v>35</v>
      </c>
      <c r="G13" s="1115" t="str">
        <f>G5</f>
        <v xml:space="preserve">Stripe1 </v>
      </c>
      <c r="H13" s="1115" t="str">
        <f>H5</f>
        <v>Stripe2</v>
      </c>
      <c r="I13" s="1115" t="str">
        <f>I5</f>
        <v>Stripe3</v>
      </c>
      <c r="J13" s="1115" t="str">
        <f>J5</f>
        <v>Stripe4</v>
      </c>
      <c r="K13" s="1115" t="str">
        <f>J13</f>
        <v>Stripe4</v>
      </c>
      <c r="L13" s="1115" t="str">
        <f>J13</f>
        <v>Stripe4</v>
      </c>
      <c r="M13" s="341"/>
    </row>
    <row r="14" spans="1:25">
      <c r="A14" s="3032"/>
      <c r="B14" s="3033"/>
      <c r="C14" s="3032"/>
      <c r="D14" s="3033"/>
      <c r="E14" s="3034"/>
      <c r="F14" s="3034"/>
      <c r="G14" s="1116" t="s">
        <v>21</v>
      </c>
      <c r="H14" s="1116" t="s">
        <v>21</v>
      </c>
      <c r="I14" s="1116" t="s">
        <v>21</v>
      </c>
      <c r="J14" s="1116" t="s">
        <v>21</v>
      </c>
      <c r="K14" s="1116" t="s">
        <v>22</v>
      </c>
      <c r="L14" s="1116" t="s">
        <v>1066</v>
      </c>
      <c r="M14" s="669"/>
    </row>
    <row r="15" spans="1:25" s="126" customFormat="1">
      <c r="A15" s="2946"/>
      <c r="B15" s="2948"/>
      <c r="C15" s="2946"/>
      <c r="D15" s="2948"/>
      <c r="E15" s="2989"/>
      <c r="F15" s="2989"/>
      <c r="G15" s="1117" t="s">
        <v>176</v>
      </c>
      <c r="H15" s="1117" t="s">
        <v>176</v>
      </c>
      <c r="I15" s="1117" t="s">
        <v>176</v>
      </c>
      <c r="J15" s="1117" t="s">
        <v>176</v>
      </c>
      <c r="K15" s="1117" t="s">
        <v>176</v>
      </c>
      <c r="L15" s="1117" t="s">
        <v>176</v>
      </c>
      <c r="M15" s="341"/>
    </row>
    <row r="16" spans="1:25" s="303" customFormat="1" ht="15" customHeight="1">
      <c r="A16" s="3036" t="s">
        <v>30</v>
      </c>
      <c r="B16" s="3037"/>
      <c r="C16" s="3042" t="s">
        <v>29</v>
      </c>
      <c r="D16" s="3043"/>
      <c r="E16" s="116" t="s">
        <v>170</v>
      </c>
      <c r="F16" s="42" t="s">
        <v>3</v>
      </c>
      <c r="G16" s="728">
        <f>Fusion!G15</f>
        <v>1600</v>
      </c>
      <c r="H16" s="728">
        <f>Fusion!H15</f>
        <v>1050</v>
      </c>
      <c r="I16" s="728">
        <f>Fusion!J15</f>
        <v>1100</v>
      </c>
      <c r="J16" s="728">
        <f>I16</f>
        <v>1100</v>
      </c>
      <c r="K16" s="728">
        <f>J16*0.7</f>
        <v>770</v>
      </c>
      <c r="L16" s="728">
        <f>J16*0.3</f>
        <v>330</v>
      </c>
      <c r="M16" s="669"/>
      <c r="N16" s="322"/>
    </row>
    <row r="17" spans="1:14" s="303" customFormat="1" ht="24" customHeight="1">
      <c r="A17" s="3038"/>
      <c r="B17" s="3039"/>
      <c r="C17" s="2917" t="s">
        <v>164</v>
      </c>
      <c r="D17" s="2918"/>
      <c r="E17" s="170" t="s">
        <v>171</v>
      </c>
      <c r="F17" s="1109" t="s">
        <v>3</v>
      </c>
      <c r="G17" s="312">
        <f>Fusion!G16</f>
        <v>2080</v>
      </c>
      <c r="H17" s="312">
        <f>Fusion!H16</f>
        <v>1365</v>
      </c>
      <c r="I17" s="312">
        <f>Fusion!J16</f>
        <v>1430</v>
      </c>
      <c r="J17" s="312">
        <f t="shared" ref="J17:J23" si="0">I17</f>
        <v>1430</v>
      </c>
      <c r="K17" s="312">
        <f>J17*0.7</f>
        <v>1000.9999999999999</v>
      </c>
      <c r="L17" s="312">
        <f>J17*0.3</f>
        <v>429</v>
      </c>
      <c r="M17" s="341"/>
      <c r="N17" s="322"/>
    </row>
    <row r="18" spans="1:14" s="303" customFormat="1" ht="24" customHeight="1">
      <c r="A18" s="3040"/>
      <c r="B18" s="3041"/>
      <c r="C18" s="3006" t="s">
        <v>165</v>
      </c>
      <c r="D18" s="3007"/>
      <c r="E18" s="682" t="s">
        <v>171</v>
      </c>
      <c r="F18" s="1020" t="s">
        <v>3</v>
      </c>
      <c r="G18" s="277">
        <f>Fusion!G17</f>
        <v>2640</v>
      </c>
      <c r="H18" s="277">
        <f>Fusion!H17</f>
        <v>1735</v>
      </c>
      <c r="I18" s="277">
        <f>Fusion!J17</f>
        <v>1815</v>
      </c>
      <c r="J18" s="277">
        <f t="shared" si="0"/>
        <v>1815</v>
      </c>
      <c r="K18" s="277">
        <f>J18*0.7</f>
        <v>1270.5</v>
      </c>
      <c r="L18" s="277">
        <f>J18*0.3</f>
        <v>544.5</v>
      </c>
      <c r="M18" s="669"/>
      <c r="N18" s="322"/>
    </row>
    <row r="19" spans="1:14" s="303" customFormat="1" ht="24" customHeight="1">
      <c r="A19" s="3044" t="s">
        <v>183</v>
      </c>
      <c r="B19" s="3045"/>
      <c r="C19" s="3046" t="s">
        <v>200</v>
      </c>
      <c r="D19" s="3047"/>
      <c r="E19" s="1122" t="s">
        <v>171</v>
      </c>
      <c r="F19" s="164" t="s">
        <v>3</v>
      </c>
      <c r="G19" s="311">
        <f>Fusion!G18</f>
        <v>2290</v>
      </c>
      <c r="H19" s="311">
        <f>Fusion!H18</f>
        <v>1505</v>
      </c>
      <c r="I19" s="311">
        <f>Fusion!J18</f>
        <v>1575</v>
      </c>
      <c r="J19" s="311">
        <f t="shared" si="0"/>
        <v>1575</v>
      </c>
      <c r="K19" s="311">
        <f>J19*0.7</f>
        <v>1102.5</v>
      </c>
      <c r="L19" s="311">
        <f>J19*0.3</f>
        <v>472.5</v>
      </c>
      <c r="M19" s="341"/>
      <c r="N19" s="322"/>
    </row>
    <row r="20" spans="1:14" s="65" customFormat="1" ht="50.25" customHeight="1">
      <c r="A20" s="3049" t="s">
        <v>169</v>
      </c>
      <c r="B20" s="3050"/>
      <c r="C20" s="3051" t="s">
        <v>891</v>
      </c>
      <c r="D20" s="3052"/>
      <c r="E20" s="682" t="s">
        <v>171</v>
      </c>
      <c r="F20" s="349" t="s">
        <v>886</v>
      </c>
      <c r="G20" s="310">
        <f>Fusion!G19</f>
        <v>2710</v>
      </c>
      <c r="H20" s="310">
        <f>Fusion!H19</f>
        <v>1775</v>
      </c>
      <c r="I20" s="310">
        <f>Fusion!J19</f>
        <v>1860</v>
      </c>
      <c r="J20" s="310">
        <f t="shared" si="0"/>
        <v>1860</v>
      </c>
      <c r="K20" s="310">
        <f>J20*0.7</f>
        <v>1302</v>
      </c>
      <c r="L20" s="310">
        <f>J20*0.3</f>
        <v>558</v>
      </c>
      <c r="M20" s="669"/>
      <c r="N20" s="322"/>
    </row>
    <row r="21" spans="1:14" s="60" customFormat="1" ht="15" customHeight="1">
      <c r="A21" s="802" t="s">
        <v>172</v>
      </c>
      <c r="B21" s="801"/>
      <c r="C21" s="801"/>
      <c r="D21" s="801"/>
      <c r="E21" s="801"/>
      <c r="F21" s="801"/>
      <c r="G21" s="801"/>
      <c r="H21" s="801"/>
      <c r="I21" s="801"/>
      <c r="J21" s="801"/>
      <c r="K21" s="801"/>
      <c r="L21" s="801"/>
      <c r="M21" s="669"/>
      <c r="N21" s="322"/>
    </row>
    <row r="22" spans="1:14" s="20" customFormat="1" ht="24" customHeight="1">
      <c r="A22" s="3053" t="s">
        <v>178</v>
      </c>
      <c r="B22" s="3053"/>
      <c r="C22" s="3053" t="s">
        <v>304</v>
      </c>
      <c r="D22" s="3053"/>
      <c r="E22" s="3053"/>
      <c r="F22" s="3053"/>
      <c r="G22" s="279">
        <f>Fusion!G21</f>
        <v>750</v>
      </c>
      <c r="H22" s="279">
        <f>Fusion!H21</f>
        <v>550</v>
      </c>
      <c r="I22" s="279">
        <f>Fusion!J21</f>
        <v>550</v>
      </c>
      <c r="J22" s="279">
        <f t="shared" si="0"/>
        <v>550</v>
      </c>
      <c r="K22" s="279">
        <f>J22*0.7</f>
        <v>385</v>
      </c>
      <c r="L22" s="279">
        <f>J22*0.3</f>
        <v>165</v>
      </c>
      <c r="M22" s="669"/>
      <c r="N22" s="322"/>
    </row>
    <row r="23" spans="1:14" s="20" customFormat="1" ht="41.25" customHeight="1">
      <c r="A23" s="3054" t="s">
        <v>234</v>
      </c>
      <c r="B23" s="3055"/>
      <c r="C23" s="3056" t="s">
        <v>305</v>
      </c>
      <c r="D23" s="3056"/>
      <c r="E23" s="3056"/>
      <c r="F23" s="3056"/>
      <c r="G23" s="297">
        <f>Fusion!G22</f>
        <v>730</v>
      </c>
      <c r="H23" s="297">
        <f>Fusion!H22</f>
        <v>520</v>
      </c>
      <c r="I23" s="297">
        <f>Fusion!J22</f>
        <v>520</v>
      </c>
      <c r="J23" s="297">
        <f t="shared" si="0"/>
        <v>520</v>
      </c>
      <c r="K23" s="297">
        <f>J23*0.7</f>
        <v>364</v>
      </c>
      <c r="L23" s="297">
        <f>J23*0.3</f>
        <v>156</v>
      </c>
      <c r="M23" s="669"/>
      <c r="N23" s="322"/>
    </row>
    <row r="24" spans="1:14" ht="18" customHeight="1">
      <c r="F24" s="471"/>
      <c r="N24" s="322"/>
    </row>
    <row r="25" spans="1:14" ht="18" customHeight="1">
      <c r="F25" s="471"/>
      <c r="J25" s="304"/>
      <c r="L25" s="304"/>
      <c r="N25" s="322"/>
    </row>
  </sheetData>
  <mergeCells count="26">
    <mergeCell ref="A5:C6"/>
    <mergeCell ref="D5:D6"/>
    <mergeCell ref="E5:E6"/>
    <mergeCell ref="A7:C7"/>
    <mergeCell ref="A23:B23"/>
    <mergeCell ref="C23:F23"/>
    <mergeCell ref="A13:B15"/>
    <mergeCell ref="C13:D15"/>
    <mergeCell ref="E13:E15"/>
    <mergeCell ref="F13:F15"/>
    <mergeCell ref="A16:B18"/>
    <mergeCell ref="C16:D16"/>
    <mergeCell ref="C17:D17"/>
    <mergeCell ref="C18:D18"/>
    <mergeCell ref="A19:B19"/>
    <mergeCell ref="C19:D19"/>
    <mergeCell ref="A20:B20"/>
    <mergeCell ref="C20:D20"/>
    <mergeCell ref="A22:B22"/>
    <mergeCell ref="C22:F22"/>
    <mergeCell ref="J7:L7"/>
    <mergeCell ref="F5:F6"/>
    <mergeCell ref="G5:G6"/>
    <mergeCell ref="H5:H6"/>
    <mergeCell ref="I5:I6"/>
    <mergeCell ref="J5:L6"/>
  </mergeCells>
  <conditionalFormatting sqref="K11:M11 M13 M15 M17 M19 G9:M9">
    <cfRule type="cellIs" dxfId="31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4" orientation="landscape" useFirstPageNumber="1" r:id="rId1"/>
  <headerFooter>
    <oddFooter>&amp;L&amp;P&amp;R&amp;G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44">
    <tabColor rgb="FF92D050"/>
  </sheetPr>
  <dimension ref="A1:AP26"/>
  <sheetViews>
    <sheetView view="pageBreakPreview" zoomScale="80" zoomScaleNormal="10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P16" sqref="P16"/>
    </sheetView>
  </sheetViews>
  <sheetFormatPr defaultColWidth="8.85546875" defaultRowHeight="15"/>
  <cols>
    <col min="1" max="1" width="4.7109375" style="469" customWidth="1"/>
    <col min="2" max="5" width="11.7109375" style="469" customWidth="1"/>
    <col min="6" max="6" width="11.7109375" style="2" customWidth="1"/>
    <col min="7" max="8" width="20.7109375" style="469" customWidth="1"/>
    <col min="9" max="9" width="20.7109375" style="471" customWidth="1"/>
    <col min="10" max="13" width="20.7109375" style="469" customWidth="1"/>
    <col min="14" max="18" width="14.28515625" style="469" customWidth="1"/>
    <col min="19" max="16384" width="8.85546875" style="469"/>
  </cols>
  <sheetData>
    <row r="1" spans="1:23" ht="18" customHeight="1">
      <c r="A1" s="468"/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24"/>
      <c r="M1" s="780"/>
      <c r="N1" s="472"/>
      <c r="O1" s="472"/>
      <c r="P1" s="472"/>
      <c r="Q1" s="472"/>
      <c r="R1" s="472"/>
      <c r="S1" s="211"/>
      <c r="T1" s="211"/>
      <c r="U1" s="211"/>
      <c r="V1" s="211"/>
      <c r="W1" s="211"/>
    </row>
    <row r="2" spans="1:23">
      <c r="A2" s="5"/>
      <c r="B2" s="468"/>
      <c r="C2" s="468"/>
      <c r="D2" s="468"/>
      <c r="E2" s="468"/>
      <c r="F2" s="6"/>
      <c r="G2" s="468"/>
      <c r="H2" s="468"/>
      <c r="I2" s="544"/>
      <c r="J2" s="468"/>
      <c r="K2" s="468"/>
      <c r="L2" s="468"/>
      <c r="M2" s="468"/>
      <c r="N2" s="359"/>
      <c r="O2" s="359"/>
      <c r="P2" s="359"/>
      <c r="Q2" s="359"/>
      <c r="R2" s="359"/>
      <c r="S2" s="211"/>
      <c r="T2" s="211"/>
      <c r="U2" s="211"/>
      <c r="V2" s="211"/>
      <c r="W2" s="211"/>
    </row>
    <row r="3" spans="1:23" ht="79.900000000000006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N3" s="358"/>
      <c r="O3" s="358"/>
      <c r="P3" s="358"/>
      <c r="Q3" s="358"/>
      <c r="R3" s="358"/>
      <c r="S3" s="211"/>
      <c r="T3" s="211"/>
      <c r="U3" s="211"/>
      <c r="V3" s="211"/>
      <c r="W3" s="211"/>
    </row>
    <row r="4" spans="1:23">
      <c r="A4" s="468"/>
      <c r="B4" s="17" t="s">
        <v>54</v>
      </c>
      <c r="C4" s="468"/>
      <c r="D4" s="468"/>
      <c r="E4" s="468"/>
      <c r="F4" s="6"/>
      <c r="G4" s="468"/>
      <c r="H4" s="468"/>
      <c r="I4" s="544"/>
      <c r="J4" s="468"/>
      <c r="K4" s="468"/>
      <c r="L4" s="468"/>
      <c r="M4" s="468"/>
      <c r="N4" s="359"/>
      <c r="O4" s="359"/>
      <c r="P4" s="359"/>
      <c r="Q4" s="359"/>
      <c r="R4" s="359"/>
      <c r="S4" s="211"/>
      <c r="T4" s="211"/>
      <c r="U4" s="211"/>
      <c r="V4" s="211"/>
      <c r="W4" s="211"/>
    </row>
    <row r="5" spans="1:23" s="20" customFormat="1" ht="38.1" customHeight="1">
      <c r="A5" s="3074" t="s">
        <v>1</v>
      </c>
      <c r="B5" s="3074"/>
      <c r="C5" s="3074"/>
      <c r="D5" s="1123" t="s">
        <v>39</v>
      </c>
      <c r="E5" s="1124" t="s">
        <v>44</v>
      </c>
      <c r="F5" s="1124" t="s">
        <v>7</v>
      </c>
      <c r="G5" s="1125" t="s">
        <v>537</v>
      </c>
      <c r="H5" s="1125" t="s">
        <v>538</v>
      </c>
      <c r="I5" s="1125" t="s">
        <v>656</v>
      </c>
      <c r="J5" s="1125" t="s">
        <v>539</v>
      </c>
      <c r="K5" s="1125" t="s">
        <v>540</v>
      </c>
      <c r="L5" s="1125" t="s">
        <v>546</v>
      </c>
      <c r="M5" s="1125" t="s">
        <v>547</v>
      </c>
      <c r="N5" s="359"/>
      <c r="O5" s="359"/>
      <c r="P5" s="359"/>
      <c r="Q5" s="359"/>
      <c r="R5" s="359"/>
      <c r="S5" s="475"/>
      <c r="T5" s="475"/>
      <c r="U5" s="475"/>
      <c r="V5" s="475"/>
      <c r="W5" s="475"/>
    </row>
    <row r="6" spans="1:23" s="20" customFormat="1" ht="30" customHeight="1">
      <c r="A6" s="2884" t="s">
        <v>1952</v>
      </c>
      <c r="B6" s="2884"/>
      <c r="C6" s="2884"/>
      <c r="D6" s="2045" t="s">
        <v>1953</v>
      </c>
      <c r="E6" s="2026" t="s">
        <v>42</v>
      </c>
      <c r="F6" s="2025" t="s">
        <v>0</v>
      </c>
      <c r="G6" s="2046">
        <f>'Полотна база'!V9*(1+скидки_наценки!$B$30)*скидки_наценки!$D$13*скидки_наценки!$F$13/скидки_наценки!$B$4</f>
        <v>27300</v>
      </c>
      <c r="H6" s="2046">
        <f>'Полотна база'!V9*(1+скидки_наценки!$B$30)*скидки_наценки!$D$13*скидки_наценки!$F$13/скидки_наценки!$B$4</f>
        <v>27300</v>
      </c>
      <c r="I6" s="2046">
        <f>'Полотна база'!V9*(1+скидки_наценки!$B$30)*скидки_наценки!$D$13*скидки_наценки!$F$13/скидки_наценки!$B$4</f>
        <v>27300</v>
      </c>
      <c r="J6" s="2046">
        <f>'Полотна база'!V9*(1+скидки_наценки!$B$30)*скидки_наценки!$D$13*скидки_наценки!$F$13/скидки_наценки!$B$4</f>
        <v>27300</v>
      </c>
      <c r="K6" s="2046">
        <f>'Полотна база'!V9*(1+скидки_наценки!$B$30)*скидки_наценки!$D$13*скидки_наценки!$F$13/скидки_наценки!$B$4</f>
        <v>27300</v>
      </c>
      <c r="L6" s="2046">
        <f>'Полотна база'!V9*(1+скидки_наценки!$B$30)*скидки_наценки!$D$13*скидки_наценки!$F$13/скидки_наценки!$B$4</f>
        <v>27300</v>
      </c>
      <c r="M6" s="2046">
        <f>'Полотна база'!V9*(1+скидки_наценки!$B$30)*скидки_наценки!$D$13*скидки_наценки!$F$13/скидки_наценки!$B$4</f>
        <v>27300</v>
      </c>
      <c r="N6" s="359"/>
      <c r="O6" s="359"/>
      <c r="P6" s="359"/>
      <c r="Q6" s="359"/>
      <c r="R6" s="359"/>
      <c r="S6" s="475"/>
      <c r="T6" s="475"/>
      <c r="U6" s="475"/>
      <c r="V6" s="475"/>
      <c r="W6" s="475"/>
    </row>
    <row r="7" spans="1:23">
      <c r="A7" s="468"/>
      <c r="C7" s="468"/>
      <c r="D7" s="468"/>
      <c r="E7" s="468"/>
      <c r="F7" s="6"/>
      <c r="G7" s="468"/>
      <c r="H7" s="468"/>
      <c r="I7" s="544"/>
      <c r="J7" s="468"/>
      <c r="K7" s="468"/>
      <c r="L7" s="468"/>
      <c r="M7" s="468"/>
      <c r="N7" s="359"/>
      <c r="O7" s="359"/>
      <c r="P7" s="359"/>
      <c r="Q7" s="359"/>
      <c r="R7" s="359"/>
      <c r="S7" s="211"/>
      <c r="T7" s="211"/>
      <c r="U7" s="211"/>
      <c r="V7" s="211"/>
      <c r="W7" s="211"/>
    </row>
    <row r="8" spans="1:23" s="471" customFormat="1">
      <c r="A8" s="544"/>
      <c r="C8" s="544"/>
      <c r="D8" s="544"/>
      <c r="E8" s="544"/>
      <c r="F8" s="6"/>
      <c r="G8" s="544"/>
      <c r="H8" s="544"/>
      <c r="I8" s="544"/>
      <c r="J8" s="544"/>
      <c r="K8" s="544"/>
      <c r="L8" s="544"/>
      <c r="M8" s="544"/>
      <c r="N8" s="359"/>
      <c r="O8" s="359"/>
      <c r="P8" s="359"/>
      <c r="Q8" s="359"/>
      <c r="R8" s="359"/>
      <c r="S8" s="211"/>
      <c r="T8" s="211"/>
      <c r="U8" s="211"/>
      <c r="V8" s="211"/>
      <c r="W8" s="211"/>
    </row>
    <row r="9" spans="1:23" s="471" customFormat="1">
      <c r="A9" s="678"/>
      <c r="B9" s="17" t="s">
        <v>19</v>
      </c>
      <c r="C9" s="678"/>
      <c r="D9" s="678"/>
      <c r="E9" s="678"/>
      <c r="F9" s="6"/>
      <c r="G9" s="3"/>
      <c r="H9" s="3"/>
      <c r="I9" s="3"/>
      <c r="J9" s="3"/>
      <c r="K9" s="3"/>
      <c r="L9" s="3"/>
      <c r="M9" s="7"/>
      <c r="N9" s="678"/>
      <c r="O9" s="678"/>
    </row>
    <row r="10" spans="1:23" s="471" customFormat="1" ht="20.100000000000001" customHeight="1">
      <c r="A10" s="3075" t="s">
        <v>2</v>
      </c>
      <c r="B10" s="3075"/>
      <c r="C10" s="3075"/>
      <c r="D10" s="3075"/>
      <c r="E10" s="3076"/>
      <c r="F10" s="3075"/>
      <c r="G10" s="452" t="s">
        <v>537</v>
      </c>
      <c r="H10" s="452" t="s">
        <v>538</v>
      </c>
      <c r="I10" s="452" t="s">
        <v>656</v>
      </c>
      <c r="J10" s="452" t="s">
        <v>539</v>
      </c>
      <c r="K10" s="452" t="s">
        <v>540</v>
      </c>
      <c r="L10" s="452" t="s">
        <v>546</v>
      </c>
      <c r="M10" s="452" t="s">
        <v>547</v>
      </c>
      <c r="N10" s="678"/>
      <c r="O10" s="678"/>
      <c r="P10" s="678"/>
    </row>
    <row r="11" spans="1:23" s="471" customFormat="1" ht="20.100000000000001" customHeight="1">
      <c r="A11" s="3002" t="s">
        <v>1171</v>
      </c>
      <c r="B11" s="3025"/>
      <c r="C11" s="3003"/>
      <c r="D11" s="3088" t="s">
        <v>869</v>
      </c>
      <c r="E11" s="3089"/>
      <c r="F11" s="3090"/>
      <c r="G11" s="2523">
        <v>0.01</v>
      </c>
      <c r="H11" s="2523">
        <v>0.01</v>
      </c>
      <c r="I11" s="2523">
        <v>0.01</v>
      </c>
      <c r="J11" s="2523">
        <v>0.01</v>
      </c>
      <c r="K11" s="2523">
        <v>0.01</v>
      </c>
      <c r="L11" s="2523">
        <v>0.01</v>
      </c>
      <c r="M11" s="2523">
        <v>0.01</v>
      </c>
      <c r="N11" s="678"/>
      <c r="O11" s="678"/>
      <c r="P11" s="678"/>
    </row>
    <row r="12" spans="1:23" s="471" customFormat="1" ht="20.100000000000001" customHeight="1">
      <c r="A12" s="3004"/>
      <c r="B12" s="3077"/>
      <c r="C12" s="3005"/>
      <c r="D12" s="3091" t="s">
        <v>868</v>
      </c>
      <c r="E12" s="3092"/>
      <c r="F12" s="3093"/>
      <c r="G12" s="2524">
        <v>0.02</v>
      </c>
      <c r="H12" s="2524">
        <v>0.02</v>
      </c>
      <c r="I12" s="2524">
        <v>0.02</v>
      </c>
      <c r="J12" s="2524">
        <v>0.02</v>
      </c>
      <c r="K12" s="2524">
        <v>0.02</v>
      </c>
      <c r="L12" s="2524">
        <v>0.02</v>
      </c>
      <c r="M12" s="2524">
        <v>0.02</v>
      </c>
      <c r="N12" s="678"/>
      <c r="O12" s="678"/>
      <c r="P12" s="678"/>
    </row>
    <row r="13" spans="1:23" s="471" customFormat="1" ht="20.100000000000001" customHeight="1">
      <c r="A13" s="3006"/>
      <c r="B13" s="3026"/>
      <c r="C13" s="3007"/>
      <c r="D13" s="3085" t="s">
        <v>870</v>
      </c>
      <c r="E13" s="3086"/>
      <c r="F13" s="3087"/>
      <c r="G13" s="2525">
        <v>0.02</v>
      </c>
      <c r="H13" s="2525">
        <v>0.02</v>
      </c>
      <c r="I13" s="2525">
        <v>0.02</v>
      </c>
      <c r="J13" s="2525">
        <v>0.02</v>
      </c>
      <c r="K13" s="2525">
        <v>0.02</v>
      </c>
      <c r="L13" s="2525">
        <v>0.02</v>
      </c>
      <c r="M13" s="2525">
        <v>0.02</v>
      </c>
      <c r="N13" s="678"/>
      <c r="O13" s="678"/>
      <c r="P13" s="678"/>
    </row>
    <row r="14" spans="1:23" s="471" customFormat="1" ht="20.100000000000001" customHeight="1">
      <c r="A14" s="3078" t="s">
        <v>874</v>
      </c>
      <c r="B14" s="3079"/>
      <c r="C14" s="3080"/>
      <c r="D14" s="3082" t="s">
        <v>868</v>
      </c>
      <c r="E14" s="3083"/>
      <c r="F14" s="3084"/>
      <c r="G14" s="1343">
        <f>'Modern Bergamo'!G15</f>
        <v>10000</v>
      </c>
      <c r="H14" s="1343">
        <f>'Modern Bergamo'!H15</f>
        <v>6750</v>
      </c>
      <c r="I14" s="1343">
        <f>'Modern Bergamo'!I15</f>
        <v>6750</v>
      </c>
      <c r="J14" s="1343"/>
      <c r="K14" s="1343"/>
      <c r="L14" s="1343"/>
      <c r="M14" s="1343"/>
      <c r="N14" s="678"/>
      <c r="O14" s="678"/>
      <c r="P14" s="678"/>
    </row>
    <row r="15" spans="1:23" s="471" customFormat="1" ht="20.100000000000001" customHeight="1">
      <c r="A15" s="2952"/>
      <c r="B15" s="3081"/>
      <c r="C15" s="2953"/>
      <c r="D15" s="3085" t="s">
        <v>1389</v>
      </c>
      <c r="E15" s="3086"/>
      <c r="F15" s="3087"/>
      <c r="G15" s="724">
        <f>'Modern Bergamo'!G16</f>
        <v>13000</v>
      </c>
      <c r="H15" s="724">
        <f>'Modern Bergamo'!H16</f>
        <v>8800</v>
      </c>
      <c r="I15" s="724">
        <f>'Modern Bergamo'!I16</f>
        <v>8800</v>
      </c>
      <c r="J15" s="724"/>
      <c r="K15" s="724"/>
      <c r="L15" s="724"/>
      <c r="M15" s="724"/>
      <c r="N15" s="678"/>
      <c r="O15" s="678"/>
      <c r="P15" s="678"/>
    </row>
    <row r="16" spans="1:23" s="471" customFormat="1" ht="15" customHeight="1">
      <c r="F16" s="92"/>
      <c r="G16" s="497"/>
      <c r="H16" s="304"/>
      <c r="I16" s="304"/>
      <c r="J16" s="304"/>
      <c r="K16" s="497"/>
      <c r="L16" s="304"/>
      <c r="M16" s="495"/>
      <c r="N16" s="359"/>
      <c r="O16" s="359"/>
      <c r="P16" s="359"/>
      <c r="Q16" s="359"/>
      <c r="R16" s="359"/>
      <c r="S16" s="211"/>
      <c r="T16" s="211"/>
      <c r="U16" s="211"/>
      <c r="V16" s="211"/>
      <c r="W16" s="211"/>
    </row>
    <row r="17" spans="1:42" s="471" customFormat="1" ht="15" customHeight="1">
      <c r="F17" s="92"/>
      <c r="G17" s="686"/>
      <c r="H17" s="304"/>
      <c r="I17" s="304"/>
      <c r="J17" s="304"/>
      <c r="K17" s="686"/>
      <c r="L17" s="304"/>
      <c r="M17" s="678"/>
      <c r="N17" s="359"/>
      <c r="O17" s="359"/>
      <c r="P17" s="359"/>
      <c r="Q17" s="359"/>
      <c r="R17" s="359"/>
      <c r="S17" s="211"/>
      <c r="T17" s="211"/>
      <c r="U17" s="211"/>
      <c r="V17" s="211"/>
      <c r="W17" s="211"/>
    </row>
    <row r="18" spans="1:42" s="471" customFormat="1" ht="79.900000000000006" customHeight="1">
      <c r="A18" s="7"/>
      <c r="B18" s="752"/>
      <c r="C18" s="752"/>
      <c r="D18" s="752"/>
      <c r="E18" s="752"/>
      <c r="F18" s="8"/>
      <c r="G18" s="7"/>
      <c r="H18" s="7"/>
      <c r="I18" s="7"/>
      <c r="J18" s="7"/>
      <c r="K18" s="7"/>
      <c r="L18" s="7"/>
      <c r="M18" s="7"/>
      <c r="N18" s="358"/>
      <c r="O18" s="358"/>
      <c r="P18" s="358"/>
      <c r="Q18" s="358"/>
      <c r="R18" s="358"/>
      <c r="S18" s="211"/>
      <c r="T18" s="211"/>
      <c r="U18" s="211"/>
      <c r="V18" s="211"/>
      <c r="W18" s="211"/>
    </row>
    <row r="19" spans="1:42">
      <c r="A19" s="676"/>
      <c r="B19" s="17" t="s">
        <v>24</v>
      </c>
      <c r="C19" s="676"/>
      <c r="D19" s="676"/>
      <c r="E19" s="676"/>
      <c r="F19" s="676"/>
      <c r="G19" s="6"/>
      <c r="H19" s="468"/>
      <c r="I19" s="544"/>
      <c r="J19" s="468"/>
      <c r="K19" s="468"/>
      <c r="L19" s="468"/>
      <c r="M19" s="468"/>
      <c r="N19" s="468"/>
      <c r="O19" s="468"/>
      <c r="P19" s="468"/>
      <c r="Q19" s="468"/>
      <c r="R19" s="468"/>
    </row>
    <row r="20" spans="1:42" ht="18" customHeight="1">
      <c r="A20" s="2881" t="s">
        <v>36</v>
      </c>
      <c r="B20" s="2883"/>
      <c r="C20" s="2881" t="s">
        <v>147</v>
      </c>
      <c r="D20" s="2883"/>
      <c r="E20" s="2988" t="s">
        <v>37</v>
      </c>
      <c r="F20" s="2988" t="s">
        <v>35</v>
      </c>
      <c r="G20" s="1115" t="s">
        <v>537</v>
      </c>
      <c r="H20" s="1115" t="s">
        <v>538</v>
      </c>
      <c r="I20" s="1115" t="s">
        <v>656</v>
      </c>
      <c r="J20" s="1115" t="s">
        <v>539</v>
      </c>
      <c r="K20" s="1115" t="s">
        <v>540</v>
      </c>
      <c r="L20" s="2990" t="s">
        <v>546</v>
      </c>
      <c r="M20" s="2990" t="s">
        <v>547</v>
      </c>
      <c r="N20" s="468"/>
      <c r="O20" s="468"/>
      <c r="P20" s="468"/>
      <c r="Q20" s="468"/>
    </row>
    <row r="21" spans="1:42" ht="18" customHeight="1">
      <c r="A21" s="3032"/>
      <c r="B21" s="3033"/>
      <c r="C21" s="3032"/>
      <c r="D21" s="3033"/>
      <c r="E21" s="3034"/>
      <c r="F21" s="3034"/>
      <c r="G21" s="1116" t="s">
        <v>21</v>
      </c>
      <c r="H21" s="1116" t="s">
        <v>21</v>
      </c>
      <c r="I21" s="1116" t="s">
        <v>21</v>
      </c>
      <c r="J21" s="1116" t="s">
        <v>21</v>
      </c>
      <c r="K21" s="1116" t="s">
        <v>21</v>
      </c>
      <c r="L21" s="3094"/>
      <c r="M21" s="3094"/>
    </row>
    <row r="22" spans="1:42" ht="18" customHeight="1">
      <c r="A22" s="2946"/>
      <c r="B22" s="2948"/>
      <c r="C22" s="2946"/>
      <c r="D22" s="2948"/>
      <c r="E22" s="2989"/>
      <c r="F22" s="2989"/>
      <c r="G22" s="1128" t="s">
        <v>173</v>
      </c>
      <c r="H22" s="1128" t="s">
        <v>173</v>
      </c>
      <c r="I22" s="1128" t="s">
        <v>173</v>
      </c>
      <c r="J22" s="1128" t="s">
        <v>173</v>
      </c>
      <c r="K22" s="1128" t="s">
        <v>173</v>
      </c>
      <c r="L22" s="3095"/>
      <c r="M22" s="3095"/>
    </row>
    <row r="23" spans="1:42" ht="24" customHeight="1">
      <c r="A23" s="3100" t="s">
        <v>169</v>
      </c>
      <c r="B23" s="3100"/>
      <c r="C23" s="2913" t="s">
        <v>174</v>
      </c>
      <c r="D23" s="2913"/>
      <c r="E23" s="679" t="s">
        <v>885</v>
      </c>
      <c r="F23" s="349" t="s">
        <v>886</v>
      </c>
      <c r="G23" s="696">
        <f>'Modern Bergamo'!G24</f>
        <v>5420</v>
      </c>
      <c r="H23" s="696">
        <f>'Modern Bergamo'!H24</f>
        <v>3550</v>
      </c>
      <c r="I23" s="696">
        <f>'Modern Bergamo'!I24</f>
        <v>3550</v>
      </c>
      <c r="J23" s="696">
        <f>'Modern Bergamo'!J24</f>
        <v>3720</v>
      </c>
      <c r="K23" s="696">
        <f>'Modern Bergamo'!K24</f>
        <v>3720</v>
      </c>
      <c r="L23" s="696"/>
      <c r="M23" s="696"/>
      <c r="N23" s="44"/>
      <c r="O23" s="44"/>
      <c r="P23" s="44"/>
      <c r="Q23" s="44"/>
    </row>
    <row r="24" spans="1:42" s="60" customFormat="1" ht="14.1" customHeight="1">
      <c r="A24" s="3096" t="s">
        <v>172</v>
      </c>
      <c r="B24" s="3096"/>
      <c r="C24" s="3096"/>
      <c r="D24" s="3096"/>
      <c r="E24" s="3096"/>
      <c r="F24" s="3096"/>
      <c r="G24" s="3096"/>
      <c r="H24" s="3096"/>
      <c r="I24" s="3096"/>
      <c r="J24" s="3096"/>
      <c r="K24" s="3096"/>
      <c r="L24" s="3096"/>
      <c r="M24" s="3096"/>
      <c r="N24" s="2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  <c r="AO24" s="480"/>
      <c r="AP24" s="480"/>
    </row>
    <row r="25" spans="1:42" s="20" customFormat="1" ht="19.899999999999999" customHeight="1">
      <c r="A25" s="3097" t="s">
        <v>178</v>
      </c>
      <c r="B25" s="3098"/>
      <c r="C25" s="3099" t="s">
        <v>304</v>
      </c>
      <c r="D25" s="3099"/>
      <c r="E25" s="3099"/>
      <c r="F25" s="3099"/>
      <c r="G25" s="297">
        <f>'Modern Bergamo'!G26</f>
        <v>750</v>
      </c>
      <c r="H25" s="297">
        <f>'Modern Bergamo'!H26</f>
        <v>550</v>
      </c>
      <c r="I25" s="297">
        <f>'Modern Bergamo'!I26</f>
        <v>550</v>
      </c>
      <c r="J25" s="297">
        <f>'Modern Bergamo'!J26</f>
        <v>550</v>
      </c>
      <c r="K25" s="297">
        <f>'Modern Bergamo'!K26</f>
        <v>550</v>
      </c>
      <c r="L25" s="297"/>
      <c r="M25" s="297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/>
    </row>
    <row r="26" spans="1:42" s="22" customFormat="1" ht="12" customHeight="1">
      <c r="B26" s="28"/>
      <c r="C26" s="172"/>
      <c r="D26" s="172"/>
      <c r="E26" s="172"/>
      <c r="F26" s="175"/>
      <c r="H26" s="18"/>
      <c r="I26" s="18"/>
      <c r="N26" s="473"/>
      <c r="O26" s="473"/>
      <c r="P26" s="473"/>
      <c r="Q26" s="473"/>
      <c r="R26" s="473"/>
      <c r="S26" s="473"/>
      <c r="T26" s="473"/>
      <c r="U26" s="473"/>
      <c r="V26" s="473"/>
      <c r="W26" s="473"/>
    </row>
  </sheetData>
  <mergeCells count="21">
    <mergeCell ref="L20:L22"/>
    <mergeCell ref="M20:M22"/>
    <mergeCell ref="A24:M24"/>
    <mergeCell ref="A25:B25"/>
    <mergeCell ref="C25:F25"/>
    <mergeCell ref="C20:D22"/>
    <mergeCell ref="E20:E22"/>
    <mergeCell ref="F20:F22"/>
    <mergeCell ref="C23:D23"/>
    <mergeCell ref="A20:B22"/>
    <mergeCell ref="A23:B23"/>
    <mergeCell ref="A5:C5"/>
    <mergeCell ref="A6:C6"/>
    <mergeCell ref="A10:F10"/>
    <mergeCell ref="A11:C13"/>
    <mergeCell ref="A14:C15"/>
    <mergeCell ref="D14:F14"/>
    <mergeCell ref="D15:F15"/>
    <mergeCell ref="D11:F11"/>
    <mergeCell ref="D12:F12"/>
    <mergeCell ref="D13:F13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3" orientation="landscape" useFirstPageNumber="1" r:id="rId1"/>
  <headerFooter>
    <oddFooter>&amp;L&amp;P&amp;R&amp;16&amp;K00-044Коллекция&amp;K01+000 &amp;11
&amp;G</oddFooter>
  </headerFooter>
  <rowBreaks count="1" manualBreakCount="1">
    <brk id="26" max="13" man="1"/>
  </row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13">
    <tabColor rgb="FF92D050"/>
  </sheetPr>
  <dimension ref="A1:AO38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O17" sqref="O17"/>
    </sheetView>
  </sheetViews>
  <sheetFormatPr defaultColWidth="8.85546875" defaultRowHeight="15"/>
  <cols>
    <col min="1" max="1" width="4.7109375" style="19" customWidth="1"/>
    <col min="2" max="5" width="11.7109375" style="19" customWidth="1"/>
    <col min="6" max="6" width="11.7109375" style="2" customWidth="1"/>
    <col min="7" max="8" width="25.7109375" style="19" customWidth="1"/>
    <col min="9" max="9" width="19.7109375" style="19" customWidth="1"/>
    <col min="10" max="10" width="19.7109375" style="471" customWidth="1"/>
    <col min="11" max="11" width="19.7109375" style="19" customWidth="1"/>
    <col min="12" max="12" width="19.7109375" style="256" customWidth="1"/>
    <col min="13" max="14" width="14.28515625" style="256" customWidth="1"/>
    <col min="15" max="15" width="14.28515625" style="19" customWidth="1"/>
    <col min="16" max="16384" width="8.85546875" style="19"/>
  </cols>
  <sheetData>
    <row r="1" spans="1:16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780"/>
      <c r="K1" s="24"/>
      <c r="L1" s="780"/>
      <c r="M1" s="24"/>
      <c r="N1" s="24"/>
      <c r="O1" s="24"/>
    </row>
    <row r="2" spans="1:16">
      <c r="A2" s="5"/>
      <c r="B2" s="21"/>
      <c r="C2" s="21"/>
      <c r="D2" s="21"/>
      <c r="E2" s="21"/>
      <c r="F2" s="6"/>
      <c r="G2" s="21"/>
      <c r="H2" s="21"/>
      <c r="I2" s="21"/>
      <c r="J2" s="1072"/>
      <c r="K2" s="21"/>
      <c r="L2" s="257"/>
      <c r="M2" s="257"/>
      <c r="N2" s="257"/>
      <c r="O2" s="21"/>
    </row>
    <row r="3" spans="1:16" ht="79.900000000000006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N3" s="7"/>
      <c r="O3" s="7"/>
    </row>
    <row r="4" spans="1:16">
      <c r="A4" s="21"/>
      <c r="B4" s="17" t="s">
        <v>54</v>
      </c>
      <c r="C4" s="470"/>
      <c r="D4" s="470"/>
      <c r="E4" s="21"/>
      <c r="F4" s="6"/>
      <c r="G4" s="21"/>
      <c r="H4" s="21"/>
      <c r="I4" s="21"/>
      <c r="J4" s="7"/>
      <c r="K4" s="21"/>
      <c r="L4" s="7"/>
      <c r="M4" s="257"/>
      <c r="N4" s="257"/>
      <c r="O4" s="21"/>
    </row>
    <row r="5" spans="1:16" s="20" customFormat="1">
      <c r="A5" s="2881" t="s">
        <v>1</v>
      </c>
      <c r="B5" s="2882"/>
      <c r="C5" s="2883"/>
      <c r="D5" s="2988" t="s">
        <v>39</v>
      </c>
      <c r="E5" s="2988" t="s">
        <v>44</v>
      </c>
      <c r="F5" s="2988" t="s">
        <v>7</v>
      </c>
      <c r="G5" s="2990" t="s">
        <v>693</v>
      </c>
      <c r="H5" s="2990" t="s">
        <v>694</v>
      </c>
      <c r="I5" s="2992" t="s">
        <v>695</v>
      </c>
      <c r="J5" s="3058"/>
      <c r="K5" s="2992" t="s">
        <v>696</v>
      </c>
      <c r="L5" s="3058"/>
      <c r="M5" s="261"/>
      <c r="N5" s="261"/>
      <c r="O5" s="261"/>
      <c r="P5" s="261"/>
    </row>
    <row r="6" spans="1:16" s="20" customFormat="1">
      <c r="A6" s="2946"/>
      <c r="B6" s="2947"/>
      <c r="C6" s="2948"/>
      <c r="D6" s="2994"/>
      <c r="E6" s="2994"/>
      <c r="F6" s="2994"/>
      <c r="G6" s="2991"/>
      <c r="H6" s="2991"/>
      <c r="I6" s="2993"/>
      <c r="J6" s="3060"/>
      <c r="K6" s="2993"/>
      <c r="L6" s="3060"/>
      <c r="M6" s="1072"/>
      <c r="N6" s="1072"/>
      <c r="O6" s="1072"/>
      <c r="P6" s="1072"/>
    </row>
    <row r="7" spans="1:16" s="20" customFormat="1" ht="30" customHeight="1">
      <c r="A7" s="2884" t="s">
        <v>1952</v>
      </c>
      <c r="B7" s="2884"/>
      <c r="C7" s="2884"/>
      <c r="D7" s="2045" t="s">
        <v>1953</v>
      </c>
      <c r="E7" s="2026" t="s">
        <v>42</v>
      </c>
      <c r="F7" s="2025" t="s">
        <v>0</v>
      </c>
      <c r="G7" s="2046">
        <f>'Полотна база'!AB9*(1+скидки_наценки!$B$30)*скидки_наценки!$D$13*скидки_наценки!$F$13/скидки_наценки!$B$4</f>
        <v>33550</v>
      </c>
      <c r="H7" s="2046">
        <f>'Полотна база'!AB9*(1+скидки_наценки!$B$30)*скидки_наценки!$D$13*скидки_наценки!$F$13/скидки_наценки!$B$4</f>
        <v>33550</v>
      </c>
      <c r="I7" s="3103">
        <f>'Полотна база'!AB9*(1+скидки_наценки!$B$30)*скидки_наценки!$D$13*скидки_наценки!$F$13/скидки_наценки!$B$4</f>
        <v>33550</v>
      </c>
      <c r="J7" s="3103"/>
      <c r="K7" s="3103">
        <f>'Полотна база'!AB9*(1+скидки_наценки!$B$30)*скидки_наценки!$D$13*скидки_наценки!$F$13/скидки_наценки!$B$4</f>
        <v>33550</v>
      </c>
      <c r="L7" s="3103"/>
      <c r="M7" s="261"/>
      <c r="N7" s="261"/>
      <c r="O7" s="261"/>
      <c r="P7" s="261"/>
    </row>
    <row r="8" spans="1:16">
      <c r="A8" s="21"/>
      <c r="B8" s="120"/>
      <c r="C8" s="21"/>
      <c r="D8" s="21"/>
      <c r="E8" s="21"/>
      <c r="F8" s="6"/>
      <c r="G8" s="21"/>
      <c r="H8" s="21"/>
      <c r="I8" s="21"/>
      <c r="J8" s="7"/>
      <c r="K8" s="21"/>
      <c r="L8" s="7"/>
      <c r="M8" s="261"/>
      <c r="N8" s="261"/>
      <c r="O8" s="261"/>
    </row>
    <row r="9" spans="1:16" s="289" customFormat="1">
      <c r="A9" s="292"/>
      <c r="C9" s="292"/>
      <c r="D9" s="292"/>
      <c r="E9" s="292"/>
      <c r="F9" s="6"/>
      <c r="G9" s="292"/>
      <c r="H9" s="292"/>
      <c r="I9" s="292"/>
      <c r="J9" s="7"/>
      <c r="K9" s="292"/>
      <c r="L9" s="7"/>
      <c r="M9" s="292"/>
      <c r="N9" s="292"/>
      <c r="O9" s="292"/>
    </row>
    <row r="10" spans="1:16">
      <c r="A10" s="21"/>
      <c r="B10" s="17" t="s">
        <v>19</v>
      </c>
      <c r="C10" s="21"/>
      <c r="D10" s="21"/>
      <c r="E10" s="21"/>
      <c r="F10" s="6"/>
      <c r="G10" s="13"/>
      <c r="H10" s="13"/>
      <c r="I10" s="13"/>
      <c r="J10" s="7"/>
      <c r="K10" s="13"/>
      <c r="L10" s="7"/>
      <c r="M10" s="261"/>
      <c r="N10" s="261"/>
      <c r="O10" s="261"/>
    </row>
    <row r="11" spans="1:16" ht="30" customHeight="1">
      <c r="A11" s="3075" t="s">
        <v>2</v>
      </c>
      <c r="B11" s="3075"/>
      <c r="C11" s="3075"/>
      <c r="D11" s="3075"/>
      <c r="E11" s="3076"/>
      <c r="F11" s="3075"/>
      <c r="G11" s="452" t="s">
        <v>693</v>
      </c>
      <c r="H11" s="452" t="s">
        <v>694</v>
      </c>
      <c r="I11" s="3104" t="s">
        <v>695</v>
      </c>
      <c r="J11" s="3104"/>
      <c r="K11" s="3104" t="s">
        <v>696</v>
      </c>
      <c r="L11" s="3104"/>
      <c r="M11" s="261"/>
      <c r="N11" s="261"/>
      <c r="O11" s="261"/>
      <c r="P11" s="261"/>
    </row>
    <row r="12" spans="1:16" ht="20.100000000000001" customHeight="1">
      <c r="A12" s="3002" t="s">
        <v>1171</v>
      </c>
      <c r="B12" s="3025"/>
      <c r="C12" s="3003"/>
      <c r="D12" s="3088" t="s">
        <v>869</v>
      </c>
      <c r="E12" s="3089"/>
      <c r="F12" s="3090"/>
      <c r="G12" s="2523">
        <v>0.01</v>
      </c>
      <c r="H12" s="2523">
        <v>0.01</v>
      </c>
      <c r="I12" s="3101">
        <v>0.01</v>
      </c>
      <c r="J12" s="3102"/>
      <c r="K12" s="3101">
        <v>0.01</v>
      </c>
      <c r="L12" s="3102"/>
      <c r="M12" s="261"/>
      <c r="N12" s="261"/>
      <c r="O12" s="261"/>
      <c r="P12" s="261"/>
    </row>
    <row r="13" spans="1:16" s="471" customFormat="1" ht="20.100000000000001" customHeight="1">
      <c r="A13" s="3004"/>
      <c r="B13" s="3077"/>
      <c r="C13" s="3005"/>
      <c r="D13" s="3091" t="s">
        <v>868</v>
      </c>
      <c r="E13" s="3092"/>
      <c r="F13" s="3093"/>
      <c r="G13" s="2524">
        <v>0.02</v>
      </c>
      <c r="H13" s="2524">
        <v>0.02</v>
      </c>
      <c r="I13" s="3105">
        <v>0.02</v>
      </c>
      <c r="J13" s="3106"/>
      <c r="K13" s="3105">
        <v>0.02</v>
      </c>
      <c r="L13" s="3106"/>
      <c r="M13" s="676"/>
      <c r="N13" s="676"/>
      <c r="O13" s="676"/>
      <c r="P13" s="676"/>
    </row>
    <row r="14" spans="1:16" s="471" customFormat="1" ht="20.100000000000001" customHeight="1">
      <c r="A14" s="3006"/>
      <c r="B14" s="3026"/>
      <c r="C14" s="3007"/>
      <c r="D14" s="3085" t="s">
        <v>870</v>
      </c>
      <c r="E14" s="3086"/>
      <c r="F14" s="3087"/>
      <c r="G14" s="2525">
        <v>0.02</v>
      </c>
      <c r="H14" s="2525">
        <v>0.02</v>
      </c>
      <c r="I14" s="3107">
        <v>0.02</v>
      </c>
      <c r="J14" s="3108"/>
      <c r="K14" s="3107">
        <v>0.02</v>
      </c>
      <c r="L14" s="3108"/>
      <c r="M14" s="676"/>
      <c r="N14" s="676"/>
      <c r="O14" s="676"/>
      <c r="P14" s="676"/>
    </row>
    <row r="15" spans="1:16" ht="20.100000000000001" customHeight="1">
      <c r="A15" s="3078" t="s">
        <v>874</v>
      </c>
      <c r="B15" s="3079"/>
      <c r="C15" s="3080"/>
      <c r="D15" s="3082" t="s">
        <v>868</v>
      </c>
      <c r="E15" s="3083"/>
      <c r="F15" s="3084"/>
      <c r="G15" s="1343">
        <f>'Modern Bergamo'!G15</f>
        <v>10000</v>
      </c>
      <c r="H15" s="1343">
        <f>'Modern Bergamo'!H15</f>
        <v>6750</v>
      </c>
      <c r="I15" s="3109"/>
      <c r="J15" s="3109"/>
      <c r="K15" s="3109"/>
      <c r="L15" s="3109"/>
      <c r="M15" s="261"/>
      <c r="N15" s="261"/>
      <c r="O15" s="261"/>
      <c r="P15" s="261"/>
    </row>
    <row r="16" spans="1:16" s="107" customFormat="1" ht="20.100000000000001" customHeight="1">
      <c r="A16" s="2952"/>
      <c r="B16" s="3081"/>
      <c r="C16" s="2953"/>
      <c r="D16" s="3085" t="s">
        <v>1389</v>
      </c>
      <c r="E16" s="3086"/>
      <c r="F16" s="3087"/>
      <c r="G16" s="724">
        <f>'Modern Bergamo'!G16</f>
        <v>13000</v>
      </c>
      <c r="H16" s="724">
        <f>'Modern Bergamo'!H16</f>
        <v>8800</v>
      </c>
      <c r="I16" s="3110"/>
      <c r="J16" s="3110"/>
      <c r="K16" s="3110"/>
      <c r="L16" s="3110"/>
      <c r="M16" s="261"/>
      <c r="N16" s="261"/>
      <c r="O16" s="261"/>
      <c r="P16" s="261"/>
    </row>
    <row r="17" spans="1:41" ht="15" customHeight="1">
      <c r="F17" s="92"/>
      <c r="G17" s="12"/>
      <c r="H17" s="304"/>
      <c r="I17" s="301"/>
      <c r="J17" s="7"/>
      <c r="K17" s="12"/>
      <c r="L17" s="7"/>
      <c r="M17" s="261"/>
      <c r="N17" s="261"/>
      <c r="O17" s="261"/>
    </row>
    <row r="18" spans="1:41" ht="90" customHeight="1">
      <c r="B18" s="29"/>
      <c r="F18" s="19"/>
    </row>
    <row r="19" spans="1:41">
      <c r="A19" s="21"/>
      <c r="B19" s="17" t="s">
        <v>24</v>
      </c>
      <c r="C19" s="21"/>
      <c r="D19" s="21"/>
      <c r="E19" s="21"/>
      <c r="F19" s="21"/>
      <c r="G19" s="6"/>
      <c r="H19" s="21"/>
      <c r="I19" s="21"/>
      <c r="K19" s="21"/>
      <c r="L19" s="471"/>
      <c r="M19" s="257"/>
      <c r="N19" s="257"/>
      <c r="O19" s="21"/>
    </row>
    <row r="20" spans="1:41" ht="14.45" customHeight="1">
      <c r="A20" s="2881" t="s">
        <v>36</v>
      </c>
      <c r="B20" s="2883"/>
      <c r="C20" s="2881" t="s">
        <v>147</v>
      </c>
      <c r="D20" s="2883"/>
      <c r="E20" s="2988" t="s">
        <v>37</v>
      </c>
      <c r="F20" s="2988" t="s">
        <v>35</v>
      </c>
      <c r="G20" s="1111" t="s">
        <v>693</v>
      </c>
      <c r="H20" s="1111" t="s">
        <v>694</v>
      </c>
      <c r="I20" s="1111" t="s">
        <v>695</v>
      </c>
      <c r="J20" s="1111" t="str">
        <f>I20</f>
        <v xml:space="preserve">Turin3 </v>
      </c>
      <c r="K20" s="1111" t="s">
        <v>696</v>
      </c>
      <c r="L20" s="1111" t="str">
        <f>K20</f>
        <v xml:space="preserve">Turin4 </v>
      </c>
      <c r="M20" s="261"/>
      <c r="N20" s="261"/>
      <c r="O20" s="261"/>
    </row>
    <row r="21" spans="1:41" s="274" customFormat="1">
      <c r="A21" s="3032"/>
      <c r="B21" s="3033"/>
      <c r="C21" s="3032"/>
      <c r="D21" s="3033"/>
      <c r="E21" s="3034"/>
      <c r="F21" s="3034"/>
      <c r="G21" s="1116" t="s">
        <v>21</v>
      </c>
      <c r="H21" s="1116" t="s">
        <v>21</v>
      </c>
      <c r="I21" s="1116" t="s">
        <v>21</v>
      </c>
      <c r="J21" s="1116" t="s">
        <v>1203</v>
      </c>
      <c r="K21" s="1116" t="s">
        <v>233</v>
      </c>
      <c r="L21" s="1116" t="s">
        <v>1066</v>
      </c>
      <c r="M21" s="275"/>
      <c r="N21" s="275"/>
      <c r="O21" s="275"/>
    </row>
    <row r="22" spans="1:41" s="14" customFormat="1">
      <c r="A22" s="2946"/>
      <c r="B22" s="2948"/>
      <c r="C22" s="2946"/>
      <c r="D22" s="2948"/>
      <c r="E22" s="2989"/>
      <c r="F22" s="2989"/>
      <c r="G22" s="1128" t="s">
        <v>173</v>
      </c>
      <c r="H22" s="1128" t="s">
        <v>173</v>
      </c>
      <c r="I22" s="1128" t="s">
        <v>173</v>
      </c>
      <c r="J22" s="1128" t="s">
        <v>173</v>
      </c>
      <c r="K22" s="1128" t="s">
        <v>173</v>
      </c>
      <c r="L22" s="1128" t="s">
        <v>173</v>
      </c>
      <c r="M22" s="261"/>
      <c r="N22" s="261"/>
      <c r="O22" s="261"/>
    </row>
    <row r="23" spans="1:41" s="20" customFormat="1" ht="24" customHeight="1">
      <c r="A23" s="3036" t="s">
        <v>169</v>
      </c>
      <c r="B23" s="3111"/>
      <c r="C23" s="2907" t="s">
        <v>174</v>
      </c>
      <c r="D23" s="2909"/>
      <c r="E23" s="681" t="s">
        <v>885</v>
      </c>
      <c r="F23" s="349" t="s">
        <v>886</v>
      </c>
      <c r="G23" s="296">
        <f>'Modern Bergamo'!G24</f>
        <v>5420</v>
      </c>
      <c r="H23" s="296">
        <f>'Modern Bergamo'!H24</f>
        <v>3550</v>
      </c>
      <c r="I23" s="296">
        <f>'Modern Bergamo'!J24</f>
        <v>3720</v>
      </c>
      <c r="J23" s="296">
        <f>CEILING(I23*0.3, 50)</f>
        <v>1150</v>
      </c>
      <c r="K23" s="296">
        <f>I23</f>
        <v>3720</v>
      </c>
      <c r="L23" s="296">
        <f>CEILING(K23*0.3, 50)</f>
        <v>1150</v>
      </c>
      <c r="M23" s="261"/>
      <c r="N23" s="261"/>
      <c r="O23" s="261"/>
    </row>
    <row r="24" spans="1:41" s="60" customFormat="1" ht="14.1" customHeight="1">
      <c r="A24" s="1108" t="s">
        <v>172</v>
      </c>
      <c r="B24" s="800"/>
      <c r="C24" s="800"/>
      <c r="D24" s="800"/>
      <c r="E24" s="800"/>
      <c r="F24" s="800"/>
      <c r="G24" s="800"/>
      <c r="H24" s="800"/>
      <c r="I24" s="800"/>
      <c r="J24" s="800"/>
      <c r="K24" s="1126"/>
      <c r="L24" s="800"/>
      <c r="M24" s="2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  <c r="AO24" s="480"/>
    </row>
    <row r="25" spans="1:41" s="20" customFormat="1" ht="19.899999999999999" customHeight="1">
      <c r="A25" s="3097" t="s">
        <v>178</v>
      </c>
      <c r="B25" s="3098"/>
      <c r="C25" s="3099" t="s">
        <v>304</v>
      </c>
      <c r="D25" s="3099"/>
      <c r="E25" s="3099"/>
      <c r="F25" s="3099"/>
      <c r="G25" s="297">
        <f>'Modern Bergamo'!G26</f>
        <v>750</v>
      </c>
      <c r="H25" s="297">
        <f>'Modern Bergamo'!H26</f>
        <v>550</v>
      </c>
      <c r="I25" s="297">
        <f>'Modern Bergamo'!J26</f>
        <v>550</v>
      </c>
      <c r="J25" s="297">
        <f>CEILING(I25*0.3, 50)</f>
        <v>200</v>
      </c>
      <c r="K25" s="297">
        <f>'Modern Bergamo'!K26</f>
        <v>550</v>
      </c>
      <c r="L25" s="297">
        <f>CEILING(K25*0.3, 50)</f>
        <v>200</v>
      </c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</row>
    <row r="26" spans="1:41" s="240" customFormat="1" ht="18" customHeight="1">
      <c r="A26" s="26"/>
      <c r="B26" s="108"/>
      <c r="I26" s="43"/>
      <c r="J26" s="471"/>
      <c r="L26" s="471"/>
      <c r="M26" s="256"/>
      <c r="N26" s="256"/>
    </row>
    <row r="27" spans="1:41" ht="18" customHeight="1"/>
    <row r="28" spans="1:41" ht="18" customHeight="1"/>
    <row r="29" spans="1:41" ht="18" customHeight="1"/>
    <row r="30" spans="1:41" ht="15" customHeight="1">
      <c r="F30" s="19"/>
    </row>
    <row r="31" spans="1:41" ht="18" customHeight="1"/>
    <row r="32" spans="1:41" ht="18" customHeight="1"/>
    <row r="33" ht="18" customHeight="1"/>
    <row r="34" ht="18" customHeight="1"/>
    <row r="35" ht="18" customHeight="1"/>
    <row r="36" ht="18" customHeight="1"/>
    <row r="37" ht="18" customHeight="1"/>
    <row r="38" ht="15" customHeight="1"/>
  </sheetData>
  <mergeCells count="39">
    <mergeCell ref="C23:D23"/>
    <mergeCell ref="A12:C14"/>
    <mergeCell ref="D12:F12"/>
    <mergeCell ref="D13:F13"/>
    <mergeCell ref="A25:B25"/>
    <mergeCell ref="C25:F25"/>
    <mergeCell ref="A23:B23"/>
    <mergeCell ref="C20:D22"/>
    <mergeCell ref="D14:F14"/>
    <mergeCell ref="E20:E22"/>
    <mergeCell ref="F20:F22"/>
    <mergeCell ref="A20:B22"/>
    <mergeCell ref="A11:F11"/>
    <mergeCell ref="A15:C16"/>
    <mergeCell ref="D15:F15"/>
    <mergeCell ref="D16:F16"/>
    <mergeCell ref="A5:C6"/>
    <mergeCell ref="D5:D6"/>
    <mergeCell ref="E5:E6"/>
    <mergeCell ref="F5:F6"/>
    <mergeCell ref="A7:C7"/>
    <mergeCell ref="K13:L13"/>
    <mergeCell ref="K14:L14"/>
    <mergeCell ref="K15:L15"/>
    <mergeCell ref="K16:L16"/>
    <mergeCell ref="I12:J12"/>
    <mergeCell ref="I13:J13"/>
    <mergeCell ref="I14:J14"/>
    <mergeCell ref="I15:J15"/>
    <mergeCell ref="I16:J16"/>
    <mergeCell ref="G5:G6"/>
    <mergeCell ref="H5:H6"/>
    <mergeCell ref="I5:J6"/>
    <mergeCell ref="K5:L6"/>
    <mergeCell ref="K12:L12"/>
    <mergeCell ref="I7:J7"/>
    <mergeCell ref="I11:J11"/>
    <mergeCell ref="K7:L7"/>
    <mergeCell ref="K11:L11"/>
  </mergeCells>
  <conditionalFormatting sqref="G18">
    <cfRule type="cellIs" dxfId="30" priority="17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1" orientation="landscape" useFirstPageNumber="1" r:id="rId1"/>
  <headerFooter>
    <oddFooter>&amp;L&amp;P&amp;R&amp;G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1">
    <tabColor rgb="FF92D050"/>
  </sheetPr>
  <dimension ref="A1:AP38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P19" sqref="P19"/>
    </sheetView>
  </sheetViews>
  <sheetFormatPr defaultColWidth="8.85546875" defaultRowHeight="15"/>
  <cols>
    <col min="1" max="1" width="4.7109375" style="260" customWidth="1"/>
    <col min="2" max="5" width="11.7109375" style="260" customWidth="1"/>
    <col min="6" max="6" width="11.7109375" style="2" customWidth="1"/>
    <col min="7" max="13" width="20.7109375" style="260" customWidth="1"/>
    <col min="14" max="15" width="14.28515625" style="260" customWidth="1"/>
    <col min="16" max="16384" width="8.85546875" style="260"/>
  </cols>
  <sheetData>
    <row r="1" spans="1:16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24"/>
      <c r="M1" s="780"/>
      <c r="N1" s="24"/>
      <c r="O1" s="24"/>
    </row>
    <row r="2" spans="1:16" ht="18" customHeight="1">
      <c r="A2" s="5"/>
      <c r="B2" s="261"/>
      <c r="C2" s="261"/>
      <c r="D2" s="261"/>
      <c r="E2" s="261"/>
      <c r="F2" s="6"/>
      <c r="G2" s="261"/>
      <c r="H2" s="261"/>
      <c r="I2" s="261"/>
      <c r="J2" s="261"/>
      <c r="K2" s="261"/>
      <c r="L2" s="261"/>
      <c r="M2" s="261"/>
      <c r="N2" s="261"/>
      <c r="O2" s="261"/>
    </row>
    <row r="3" spans="1:16" ht="79.900000000000006" customHeight="1">
      <c r="A3" s="7"/>
      <c r="B3" s="752"/>
      <c r="C3" s="752"/>
      <c r="D3" s="752"/>
      <c r="E3" s="752"/>
      <c r="F3" s="425"/>
      <c r="G3" s="7"/>
      <c r="H3" s="7"/>
      <c r="I3" s="7"/>
      <c r="J3" s="7"/>
      <c r="K3" s="7"/>
      <c r="L3" s="7"/>
      <c r="M3" s="7"/>
      <c r="N3" s="7"/>
      <c r="O3" s="7"/>
    </row>
    <row r="4" spans="1:16">
      <c r="A4" s="261"/>
      <c r="B4" s="705" t="s">
        <v>54</v>
      </c>
      <c r="C4" s="261"/>
      <c r="D4" s="261"/>
      <c r="E4" s="261"/>
      <c r="F4" s="6"/>
      <c r="G4" s="261"/>
      <c r="H4" s="261"/>
      <c r="I4" s="261"/>
      <c r="J4" s="261"/>
      <c r="K4" s="261"/>
      <c r="L4" s="261"/>
      <c r="M4" s="7"/>
      <c r="N4" s="261"/>
      <c r="O4" s="261"/>
    </row>
    <row r="5" spans="1:16" s="20" customFormat="1" ht="30" customHeight="1">
      <c r="A5" s="2881" t="s">
        <v>1</v>
      </c>
      <c r="B5" s="2882"/>
      <c r="C5" s="2883"/>
      <c r="D5" s="2988" t="s">
        <v>39</v>
      </c>
      <c r="E5" s="2988" t="s">
        <v>44</v>
      </c>
      <c r="F5" s="2988" t="s">
        <v>7</v>
      </c>
      <c r="G5" s="2990" t="s">
        <v>235</v>
      </c>
      <c r="H5" s="2990" t="s">
        <v>236</v>
      </c>
      <c r="I5" s="2990" t="s">
        <v>237</v>
      </c>
      <c r="J5" s="2990" t="s">
        <v>238</v>
      </c>
      <c r="K5" s="2990" t="s">
        <v>239</v>
      </c>
      <c r="L5" s="2990" t="s">
        <v>240</v>
      </c>
      <c r="M5" s="2990" t="s">
        <v>241</v>
      </c>
      <c r="N5" s="261"/>
      <c r="O5" s="261"/>
      <c r="P5" s="261"/>
    </row>
    <row r="6" spans="1:16" s="20" customFormat="1" ht="30" customHeight="1">
      <c r="A6" s="2946"/>
      <c r="B6" s="2947"/>
      <c r="C6" s="2948"/>
      <c r="D6" s="2994"/>
      <c r="E6" s="2994"/>
      <c r="F6" s="2994"/>
      <c r="G6" s="2991"/>
      <c r="H6" s="2991"/>
      <c r="I6" s="2991"/>
      <c r="J6" s="2991"/>
      <c r="K6" s="2991"/>
      <c r="L6" s="2991"/>
      <c r="M6" s="2991"/>
      <c r="N6" s="1072"/>
      <c r="O6" s="1072"/>
      <c r="P6" s="1072"/>
    </row>
    <row r="7" spans="1:16" s="20" customFormat="1" ht="30" customHeight="1">
      <c r="A7" s="2884" t="s">
        <v>1952</v>
      </c>
      <c r="B7" s="2884"/>
      <c r="C7" s="2884"/>
      <c r="D7" s="2045" t="s">
        <v>1953</v>
      </c>
      <c r="E7" s="2026" t="s">
        <v>42</v>
      </c>
      <c r="F7" s="2025" t="s">
        <v>0</v>
      </c>
      <c r="G7" s="2046">
        <f>'Полотна база'!AC9*(1+скидки_наценки!$B$30)*скидки_наценки!$D$15*скидки_наценки!$F$15/скидки_наценки!$B$4</f>
        <v>38250</v>
      </c>
      <c r="H7" s="2046">
        <f>'Полотна база'!AC9*(1+скидки_наценки!$B$30)*скидки_наценки!$D$15*скидки_наценки!$F$15/скидки_наценки!$B$4</f>
        <v>38250</v>
      </c>
      <c r="I7" s="2046">
        <f>'Полотна база'!AC9*(1+скидки_наценки!$B$30)*скидки_наценки!$D$15*скидки_наценки!$F$15/скидки_наценки!$B$4</f>
        <v>38250</v>
      </c>
      <c r="J7" s="2046">
        <f>'Полотна база'!AC9*(1+скидки_наценки!$B$30)*скидки_наценки!$D$15*скидки_наценки!$F$15/скидки_наценки!$B$4</f>
        <v>38250</v>
      </c>
      <c r="K7" s="2046">
        <f>'Полотна база'!AC9*(1+скидки_наценки!$B$30)*скидки_наценки!$D$15*скидки_наценки!$F$15/скидки_наценки!$B$4</f>
        <v>38250</v>
      </c>
      <c r="L7" s="2046">
        <f>'Полотна база'!AC9*(1+скидки_наценки!$B$30)*скидки_наценки!$D$15*скидки_наценки!$F$15/скидки_наценки!$B$4</f>
        <v>38250</v>
      </c>
      <c r="M7" s="2046">
        <f>'Полотна база'!AC9*(1+скидки_наценки!$B$30)*скидки_наценки!$D$15*скидки_наценки!$F$15/скидки_наценки!$B$4</f>
        <v>38250</v>
      </c>
      <c r="N7" s="261"/>
      <c r="O7" s="261"/>
      <c r="P7" s="261"/>
    </row>
    <row r="8" spans="1:16">
      <c r="A8" s="261"/>
      <c r="C8" s="261"/>
      <c r="D8" s="261"/>
      <c r="E8" s="261"/>
      <c r="F8" s="6"/>
      <c r="G8" s="261"/>
      <c r="H8" s="261"/>
      <c r="I8" s="261"/>
      <c r="J8" s="261"/>
      <c r="K8" s="261"/>
      <c r="L8" s="261"/>
      <c r="M8" s="7"/>
      <c r="N8" s="261"/>
      <c r="O8" s="261"/>
    </row>
    <row r="9" spans="1:16">
      <c r="A9" s="261"/>
      <c r="B9" s="289"/>
      <c r="C9" s="261"/>
      <c r="D9" s="261"/>
      <c r="E9" s="261"/>
      <c r="F9" s="6"/>
      <c r="G9" s="261"/>
      <c r="H9" s="261"/>
      <c r="I9" s="261"/>
      <c r="J9" s="261"/>
      <c r="K9" s="261"/>
      <c r="L9" s="261"/>
      <c r="M9" s="7"/>
      <c r="N9" s="261"/>
      <c r="O9" s="261"/>
    </row>
    <row r="10" spans="1:16">
      <c r="A10" s="261"/>
      <c r="B10" s="17" t="s">
        <v>19</v>
      </c>
      <c r="C10" s="261"/>
      <c r="D10" s="261"/>
      <c r="E10" s="261"/>
      <c r="F10" s="6"/>
      <c r="G10" s="3"/>
      <c r="H10" s="3"/>
      <c r="I10" s="3"/>
      <c r="J10" s="3"/>
      <c r="K10" s="3"/>
      <c r="L10" s="3"/>
      <c r="M10" s="7"/>
      <c r="N10" s="261"/>
      <c r="O10" s="261"/>
    </row>
    <row r="11" spans="1:16" ht="29.25" customHeight="1">
      <c r="A11" s="3075" t="s">
        <v>2</v>
      </c>
      <c r="B11" s="3075"/>
      <c r="C11" s="3075"/>
      <c r="D11" s="3075"/>
      <c r="E11" s="3076"/>
      <c r="F11" s="3075"/>
      <c r="G11" s="273" t="s">
        <v>235</v>
      </c>
      <c r="H11" s="273" t="s">
        <v>236</v>
      </c>
      <c r="I11" s="273" t="s">
        <v>237</v>
      </c>
      <c r="J11" s="273" t="s">
        <v>238</v>
      </c>
      <c r="K11" s="273" t="s">
        <v>239</v>
      </c>
      <c r="L11" s="452" t="s">
        <v>240</v>
      </c>
      <c r="M11" s="452" t="s">
        <v>241</v>
      </c>
      <c r="N11" s="261"/>
      <c r="O11" s="261"/>
      <c r="P11" s="261"/>
    </row>
    <row r="12" spans="1:16" ht="20.100000000000001" customHeight="1">
      <c r="A12" s="3115" t="s">
        <v>1304</v>
      </c>
      <c r="B12" s="3116"/>
      <c r="C12" s="3117"/>
      <c r="D12" s="3088" t="s">
        <v>869</v>
      </c>
      <c r="E12" s="3089"/>
      <c r="F12" s="3090"/>
      <c r="G12" s="2523">
        <f>Elegance!G11</f>
        <v>0.01</v>
      </c>
      <c r="H12" s="2523">
        <f>Elegance!H11</f>
        <v>0.01</v>
      </c>
      <c r="I12" s="2523">
        <f>Elegance!I11</f>
        <v>0.01</v>
      </c>
      <c r="J12" s="2523">
        <f>Elegance!J11</f>
        <v>0.01</v>
      </c>
      <c r="K12" s="2523">
        <f>Elegance!K11</f>
        <v>0.01</v>
      </c>
      <c r="L12" s="2523">
        <f>Elegance!L11</f>
        <v>0.01</v>
      </c>
      <c r="M12" s="2523">
        <f>Elegance!M11</f>
        <v>0.01</v>
      </c>
      <c r="N12" s="261"/>
      <c r="O12" s="261"/>
      <c r="P12" s="261"/>
    </row>
    <row r="13" spans="1:16" s="471" customFormat="1" ht="20.100000000000001" customHeight="1">
      <c r="A13" s="3118"/>
      <c r="B13" s="3119"/>
      <c r="C13" s="3120"/>
      <c r="D13" s="3091" t="s">
        <v>868</v>
      </c>
      <c r="E13" s="3092"/>
      <c r="F13" s="3093"/>
      <c r="G13" s="2524">
        <f>Elegance!G12</f>
        <v>0.02</v>
      </c>
      <c r="H13" s="2524">
        <f>Elegance!H12</f>
        <v>0.02</v>
      </c>
      <c r="I13" s="2524">
        <f>Elegance!I12</f>
        <v>0.02</v>
      </c>
      <c r="J13" s="2524">
        <f>Elegance!J12</f>
        <v>0.02</v>
      </c>
      <c r="K13" s="2524">
        <f>Elegance!K12</f>
        <v>0.02</v>
      </c>
      <c r="L13" s="2524">
        <f>Elegance!L12</f>
        <v>0.02</v>
      </c>
      <c r="M13" s="2524">
        <f>Elegance!M12</f>
        <v>0.02</v>
      </c>
      <c r="N13" s="676"/>
      <c r="O13" s="676"/>
      <c r="P13" s="676"/>
    </row>
    <row r="14" spans="1:16" s="471" customFormat="1" ht="20.100000000000001" customHeight="1">
      <c r="A14" s="3121"/>
      <c r="B14" s="3122"/>
      <c r="C14" s="3123"/>
      <c r="D14" s="3085" t="s">
        <v>870</v>
      </c>
      <c r="E14" s="3086"/>
      <c r="F14" s="3087"/>
      <c r="G14" s="2525">
        <f>Elegance!G13</f>
        <v>0.02</v>
      </c>
      <c r="H14" s="2525">
        <f>Elegance!H13</f>
        <v>0.02</v>
      </c>
      <c r="I14" s="2525">
        <f>Elegance!I13</f>
        <v>0.02</v>
      </c>
      <c r="J14" s="2525">
        <f>Elegance!J13</f>
        <v>0.02</v>
      </c>
      <c r="K14" s="2525">
        <f>Elegance!K13</f>
        <v>0.02</v>
      </c>
      <c r="L14" s="2525">
        <f>Elegance!L13</f>
        <v>0.02</v>
      </c>
      <c r="M14" s="2525">
        <f>Elegance!M13</f>
        <v>0.02</v>
      </c>
      <c r="N14" s="676"/>
      <c r="O14" s="676"/>
      <c r="P14" s="676"/>
    </row>
    <row r="15" spans="1:16" ht="20.100000000000001" customHeight="1">
      <c r="A15" s="3112" t="s">
        <v>874</v>
      </c>
      <c r="B15" s="3112"/>
      <c r="C15" s="3112"/>
      <c r="D15" s="3113" t="s">
        <v>868</v>
      </c>
      <c r="E15" s="3113"/>
      <c r="F15" s="3113"/>
      <c r="G15" s="1341">
        <f>Стекла_база!H15*(1+скидки_наценки!$B$32)*скидки_наценки!$D$13*скидки_наценки!$F$13/скидки_наценки!$B$4</f>
        <v>10000</v>
      </c>
      <c r="H15" s="1341">
        <f>Стекла_база!$H$16*(1+скидки_наценки!$B$32)*скидки_наценки!$D$13*скидки_наценки!$F$13/скидки_наценки!$B$4</f>
        <v>6750</v>
      </c>
      <c r="I15" s="1341">
        <f>Стекла_база!$H$16*(1+скидки_наценки!$B$32)*скидки_наценки!$D$13*скидки_наценки!$F$13/скидки_наценки!$B$4</f>
        <v>6750</v>
      </c>
      <c r="J15" s="1339"/>
      <c r="K15" s="1339"/>
      <c r="L15" s="1339"/>
      <c r="M15" s="1339"/>
      <c r="N15" s="261"/>
      <c r="O15" s="261"/>
      <c r="P15" s="261"/>
    </row>
    <row r="16" spans="1:16" ht="20.100000000000001" customHeight="1">
      <c r="A16" s="3112"/>
      <c r="B16" s="3112"/>
      <c r="C16" s="3112"/>
      <c r="D16" s="3114" t="s">
        <v>1389</v>
      </c>
      <c r="E16" s="3114"/>
      <c r="F16" s="3114"/>
      <c r="G16" s="1342">
        <f>Стекла_база!I15*(1+скидки_наценки!$B$32)*скидки_наценки!$D$13*скидки_наценки!$F$13/скидки_наценки!$B$4</f>
        <v>13000</v>
      </c>
      <c r="H16" s="1342">
        <f>Стекла_база!$I$16*(1+скидки_наценки!$B$32)*скидки_наценки!$D$13*скидки_наценки!$F$13/скидки_наценки!$B$4</f>
        <v>8800</v>
      </c>
      <c r="I16" s="1342">
        <f>Стекла_база!$I$16*(1+скидки_наценки!$B$32)*скидки_наценки!$D$13*скидки_наценки!$F$13/скидки_наценки!$B$4</f>
        <v>8800</v>
      </c>
      <c r="J16" s="1340"/>
      <c r="K16" s="1340"/>
      <c r="L16" s="1340"/>
      <c r="M16" s="1340"/>
      <c r="N16" s="261"/>
      <c r="O16" s="261"/>
      <c r="P16" s="261"/>
    </row>
    <row r="17" spans="1:42" ht="15" customHeight="1">
      <c r="F17" s="92"/>
      <c r="G17" s="301"/>
      <c r="H17" s="12"/>
      <c r="I17" s="12"/>
      <c r="J17" s="12"/>
      <c r="K17" s="12"/>
      <c r="L17" s="12"/>
      <c r="M17" s="7"/>
      <c r="N17" s="261"/>
      <c r="O17" s="261"/>
    </row>
    <row r="18" spans="1:42" ht="18" customHeight="1">
      <c r="B18" s="29"/>
      <c r="F18" s="260"/>
      <c r="R18" s="23"/>
      <c r="S18" s="23"/>
      <c r="T18" s="23"/>
      <c r="U18" s="23"/>
    </row>
    <row r="19" spans="1:42" ht="90" customHeight="1">
      <c r="B19" s="29"/>
      <c r="F19" s="260"/>
      <c r="R19" s="23"/>
      <c r="S19" s="23"/>
      <c r="T19" s="23"/>
      <c r="U19" s="23"/>
    </row>
    <row r="20" spans="1:42">
      <c r="A20" s="261"/>
      <c r="B20" s="17" t="s">
        <v>24</v>
      </c>
      <c r="C20" s="261"/>
      <c r="D20" s="261"/>
      <c r="E20" s="261"/>
      <c r="F20" s="261"/>
      <c r="G20" s="6"/>
      <c r="H20" s="261"/>
      <c r="I20" s="261"/>
      <c r="J20" s="261"/>
      <c r="K20" s="261"/>
      <c r="L20" s="261"/>
      <c r="M20" s="61"/>
      <c r="N20" s="261"/>
      <c r="O20" s="261"/>
      <c r="R20" s="23"/>
      <c r="S20" s="23"/>
      <c r="T20" s="23"/>
      <c r="U20" s="23"/>
    </row>
    <row r="21" spans="1:42" ht="15" customHeight="1">
      <c r="A21" s="3011" t="s">
        <v>36</v>
      </c>
      <c r="B21" s="3013"/>
      <c r="C21" s="2881" t="s">
        <v>147</v>
      </c>
      <c r="D21" s="2883"/>
      <c r="E21" s="2988" t="s">
        <v>37</v>
      </c>
      <c r="F21" s="2988" t="s">
        <v>35</v>
      </c>
      <c r="G21" s="1115" t="s">
        <v>235</v>
      </c>
      <c r="H21" s="1115" t="s">
        <v>236</v>
      </c>
      <c r="I21" s="1115" t="s">
        <v>237</v>
      </c>
      <c r="J21" s="1115" t="s">
        <v>238</v>
      </c>
      <c r="K21" s="1115" t="s">
        <v>239</v>
      </c>
      <c r="L21" s="2990" t="s">
        <v>240</v>
      </c>
      <c r="M21" s="2990" t="s">
        <v>241</v>
      </c>
      <c r="N21" s="261"/>
      <c r="O21" s="261"/>
      <c r="R21" s="23"/>
      <c r="S21" s="23"/>
      <c r="T21" s="23"/>
      <c r="U21" s="23"/>
    </row>
    <row r="22" spans="1:42" s="471" customFormat="1" ht="15" customHeight="1">
      <c r="A22" s="3126"/>
      <c r="B22" s="3127"/>
      <c r="C22" s="3032"/>
      <c r="D22" s="3033"/>
      <c r="E22" s="3034"/>
      <c r="F22" s="3034"/>
      <c r="G22" s="1116" t="s">
        <v>21</v>
      </c>
      <c r="H22" s="1116" t="s">
        <v>21</v>
      </c>
      <c r="I22" s="1116" t="s">
        <v>21</v>
      </c>
      <c r="J22" s="1116" t="s">
        <v>21</v>
      </c>
      <c r="K22" s="1116" t="s">
        <v>21</v>
      </c>
      <c r="L22" s="3095"/>
      <c r="M22" s="3095"/>
      <c r="N22" s="678"/>
      <c r="O22" s="678"/>
      <c r="R22" s="669"/>
      <c r="S22" s="669"/>
      <c r="T22" s="669"/>
      <c r="U22" s="669"/>
    </row>
    <row r="23" spans="1:42" s="14" customFormat="1">
      <c r="A23" s="3014"/>
      <c r="B23" s="3016"/>
      <c r="C23" s="2946"/>
      <c r="D23" s="2948"/>
      <c r="E23" s="2989"/>
      <c r="F23" s="2989"/>
      <c r="G23" s="1128" t="s">
        <v>173</v>
      </c>
      <c r="H23" s="1128" t="s">
        <v>173</v>
      </c>
      <c r="I23" s="1128" t="s">
        <v>173</v>
      </c>
      <c r="J23" s="1128" t="s">
        <v>173</v>
      </c>
      <c r="K23" s="1128" t="s">
        <v>173</v>
      </c>
      <c r="L23" s="1128"/>
      <c r="M23" s="1128"/>
      <c r="N23" s="261"/>
      <c r="O23" s="261"/>
    </row>
    <row r="24" spans="1:42" s="20" customFormat="1" ht="45" customHeight="1">
      <c r="A24" s="3036" t="s">
        <v>169</v>
      </c>
      <c r="B24" s="3111"/>
      <c r="C24" s="2907" t="s">
        <v>174</v>
      </c>
      <c r="D24" s="2909"/>
      <c r="E24" s="681" t="s">
        <v>885</v>
      </c>
      <c r="F24" s="349" t="s">
        <v>886</v>
      </c>
      <c r="G24" s="296">
        <f>Стекла_база!H79*(1+скидки_наценки!$B$32)*скидки_наценки!$D$13*скидки_наценки!$F$13/скидки_наценки!$B$4</f>
        <v>5420</v>
      </c>
      <c r="H24" s="296">
        <f>Стекла_база!H80*(1+скидки_наценки!$B$32)*скидки_наценки!$D$13*скидки_наценки!$F$13/скидки_наценки!$B$4</f>
        <v>3550</v>
      </c>
      <c r="I24" s="296">
        <f>Стекла_база!H80*(1+скидки_наценки!$B$32)*скидки_наценки!$D$13*скидки_наценки!$F$13/скидки_наценки!$B$4</f>
        <v>3550</v>
      </c>
      <c r="J24" s="296">
        <f>Стекла_база!H81*(1+скидки_наценки!$B$32)*скидки_наценки!$D$13*скидки_наценки!$F$13/скидки_наценки!$B$4</f>
        <v>3720</v>
      </c>
      <c r="K24" s="296">
        <f>Стекла_база!H81*(1+скидки_наценки!$B$32)*скидки_наценки!$D$13*скидки_наценки!$F$13/скидки_наценки!$B$4</f>
        <v>3720</v>
      </c>
      <c r="L24" s="296"/>
      <c r="M24" s="296"/>
      <c r="N24" s="261"/>
      <c r="O24" s="261"/>
    </row>
    <row r="25" spans="1:42" s="60" customFormat="1" ht="14.1" customHeight="1">
      <c r="A25" s="3124" t="s">
        <v>172</v>
      </c>
      <c r="B25" s="3125"/>
      <c r="C25" s="3125"/>
      <c r="D25" s="3125"/>
      <c r="E25" s="3125"/>
      <c r="F25" s="3125"/>
      <c r="G25" s="3125"/>
      <c r="H25" s="3125"/>
      <c r="I25" s="3125"/>
      <c r="J25" s="3125"/>
      <c r="K25" s="3125"/>
      <c r="L25" s="3125"/>
      <c r="M25" s="3125"/>
      <c r="N25" s="2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/>
    </row>
    <row r="26" spans="1:42" s="20" customFormat="1" ht="19.899999999999999" customHeight="1">
      <c r="A26" s="3097" t="s">
        <v>178</v>
      </c>
      <c r="B26" s="3098"/>
      <c r="C26" s="3099" t="s">
        <v>304</v>
      </c>
      <c r="D26" s="3099"/>
      <c r="E26" s="3099"/>
      <c r="F26" s="3099"/>
      <c r="G26" s="297">
        <f>Стекла_база!N79*(1+скидки_наценки!$B$32)*скидки_наценки!$D$13*скидки_наценки!$F$13/скидки_наценки!$B$4</f>
        <v>750</v>
      </c>
      <c r="H26" s="297">
        <f>Стекла_база!N80*(1+скидки_наценки!$B$32)*скидки_наценки!$D$13*скидки_наценки!$F$13/скидки_наценки!$B$4</f>
        <v>550</v>
      </c>
      <c r="I26" s="297">
        <f>Стекла_база!N80*(1+скидки_наценки!$B$32)*скидки_наценки!$D$13*скидки_наценки!$F$13/скидки_наценки!$B$4</f>
        <v>550</v>
      </c>
      <c r="J26" s="297">
        <f>Стекла_база!N81*(1+скидки_наценки!$B$32)*скидки_наценки!$D$13*скидки_наценки!$F$13/скидки_наценки!$B$4</f>
        <v>550</v>
      </c>
      <c r="K26" s="297">
        <f>Стекла_база!N81*(1+скидки_наценки!$B$32)*скидки_наценки!$D$13*скидки_наценки!$F$13/скидки_наценки!$B$4</f>
        <v>550</v>
      </c>
      <c r="L26" s="297"/>
      <c r="M26" s="297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</row>
    <row r="27" spans="1:42" ht="18" customHeight="1"/>
    <row r="28" spans="1:42" ht="18" customHeight="1"/>
    <row r="29" spans="1:42" ht="18" customHeight="1"/>
    <row r="30" spans="1:42" ht="15" customHeight="1">
      <c r="F30" s="260"/>
    </row>
    <row r="31" spans="1:42" ht="18" customHeight="1"/>
    <row r="32" spans="1:42" ht="18" customHeight="1"/>
    <row r="33" ht="18" customHeight="1"/>
    <row r="34" ht="18" customHeight="1"/>
    <row r="35" ht="18" customHeight="1"/>
    <row r="36" ht="18" customHeight="1"/>
    <row r="37" ht="18" customHeight="1"/>
    <row r="38" ht="15" customHeight="1"/>
  </sheetData>
  <mergeCells count="31">
    <mergeCell ref="C24:D24"/>
    <mergeCell ref="L21:L22"/>
    <mergeCell ref="A26:B26"/>
    <mergeCell ref="C26:F26"/>
    <mergeCell ref="A25:M25"/>
    <mergeCell ref="A24:B24"/>
    <mergeCell ref="M21:M22"/>
    <mergeCell ref="C21:D23"/>
    <mergeCell ref="A21:B23"/>
    <mergeCell ref="E21:E23"/>
    <mergeCell ref="F21:F23"/>
    <mergeCell ref="A7:C7"/>
    <mergeCell ref="A11:F11"/>
    <mergeCell ref="A15:C16"/>
    <mergeCell ref="D15:F15"/>
    <mergeCell ref="D16:F16"/>
    <mergeCell ref="A12:C14"/>
    <mergeCell ref="D12:F12"/>
    <mergeCell ref="D13:F13"/>
    <mergeCell ref="D14:F14"/>
    <mergeCell ref="L5:L6"/>
    <mergeCell ref="M5:M6"/>
    <mergeCell ref="A5:C6"/>
    <mergeCell ref="D5:D6"/>
    <mergeCell ref="E5:E6"/>
    <mergeCell ref="F5:F6"/>
    <mergeCell ref="G5:G6"/>
    <mergeCell ref="H5:H6"/>
    <mergeCell ref="I5:I6"/>
    <mergeCell ref="J5:J6"/>
    <mergeCell ref="K5:K6"/>
  </mergeCells>
  <conditionalFormatting sqref="G18:G19">
    <cfRule type="cellIs" dxfId="29" priority="6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9" orientation="landscape" useFirstPageNumber="1" r:id="rId1"/>
  <headerFooter>
    <oddFooter>&amp;L&amp;P&amp;R&amp;G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DE77"/>
  <sheetViews>
    <sheetView view="pageBreakPreview" zoomScale="70" zoomScaleNormal="70" zoomScaleSheetLayoutView="70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O16" sqref="O16"/>
    </sheetView>
  </sheetViews>
  <sheetFormatPr defaultColWidth="9.140625" defaultRowHeight="15"/>
  <cols>
    <col min="1" max="1" width="4.7109375" style="471" customWidth="1"/>
    <col min="2" max="2" width="9.85546875" style="471" customWidth="1"/>
    <col min="3" max="3" width="8.7109375" style="471" customWidth="1"/>
    <col min="4" max="4" width="11.85546875" style="471" customWidth="1"/>
    <col min="5" max="5" width="11.42578125" style="471" customWidth="1"/>
    <col min="6" max="6" width="12.7109375" style="2" customWidth="1"/>
    <col min="7" max="7" width="29.7109375" style="471" customWidth="1"/>
    <col min="8" max="8" width="28.5703125" style="471" customWidth="1"/>
    <col min="9" max="9" width="14.7109375" style="471" customWidth="1"/>
    <col min="10" max="10" width="10" style="471" hidden="1" customWidth="1"/>
    <col min="11" max="11" width="12.85546875" style="471" customWidth="1"/>
    <col min="12" max="12" width="16.42578125" style="471" customWidth="1"/>
    <col min="13" max="13" width="14.5703125" style="471" customWidth="1"/>
    <col min="14" max="14" width="20.7109375" style="471" customWidth="1"/>
    <col min="15" max="16384" width="9.140625" style="471"/>
  </cols>
  <sheetData>
    <row r="1" spans="1:109" s="11" customFormat="1" ht="18" customHeight="1">
      <c r="B1" s="1026" t="s">
        <v>307</v>
      </c>
      <c r="C1" s="1026"/>
      <c r="D1" s="24"/>
      <c r="E1" s="24"/>
      <c r="F1" s="4"/>
      <c r="G1" s="24"/>
      <c r="H1" s="24"/>
      <c r="I1" s="24"/>
      <c r="J1" s="24"/>
      <c r="K1" s="24"/>
      <c r="L1" s="24"/>
      <c r="M1" s="24"/>
      <c r="T1" s="1027"/>
      <c r="U1" s="1027"/>
      <c r="V1" s="1027"/>
      <c r="W1" s="1027"/>
      <c r="X1" s="1027"/>
      <c r="Y1" s="1027"/>
      <c r="Z1" s="1027"/>
      <c r="AA1" s="1027"/>
      <c r="AB1" s="1027"/>
      <c r="AC1" s="1027"/>
      <c r="AD1" s="1027"/>
      <c r="AE1" s="1027"/>
      <c r="AF1" s="1027"/>
      <c r="AG1" s="1027"/>
      <c r="AH1" s="1027"/>
      <c r="AI1" s="1027"/>
      <c r="AJ1" s="1027"/>
      <c r="AK1" s="1027"/>
      <c r="AL1" s="1027"/>
      <c r="AM1" s="1027"/>
      <c r="AN1" s="1027"/>
      <c r="AO1" s="1027"/>
      <c r="AP1" s="1027"/>
      <c r="AQ1" s="1027"/>
      <c r="AR1" s="1027"/>
      <c r="AS1" s="1027"/>
      <c r="AT1" s="1027"/>
      <c r="AU1" s="1027"/>
      <c r="AV1" s="1027"/>
      <c r="AW1" s="1027"/>
      <c r="AX1" s="1027"/>
      <c r="AY1" s="1027"/>
      <c r="AZ1" s="1027"/>
      <c r="BA1" s="1027"/>
      <c r="BB1" s="1027"/>
      <c r="BC1" s="1027"/>
      <c r="BD1" s="1027"/>
      <c r="BE1" s="1027"/>
      <c r="BF1" s="1027"/>
      <c r="BG1" s="1027"/>
      <c r="BH1" s="1027"/>
      <c r="BI1" s="1027"/>
      <c r="BJ1" s="1027"/>
      <c r="BK1" s="1027"/>
      <c r="BL1" s="1027"/>
      <c r="BM1" s="1027"/>
      <c r="BN1" s="1027"/>
      <c r="BO1" s="1027"/>
      <c r="BP1" s="1027"/>
      <c r="BQ1" s="1027"/>
      <c r="BR1" s="1027"/>
      <c r="BS1" s="1027"/>
      <c r="BT1" s="1027"/>
      <c r="BU1" s="1027"/>
      <c r="BV1" s="1027"/>
      <c r="BW1" s="1027"/>
      <c r="BX1" s="1027"/>
      <c r="BY1" s="1027"/>
      <c r="BZ1" s="1027"/>
      <c r="CA1" s="1027"/>
      <c r="CB1" s="1027"/>
      <c r="CC1" s="1027"/>
      <c r="CD1" s="1027"/>
      <c r="CE1" s="1027"/>
      <c r="CF1" s="1027"/>
      <c r="CG1" s="1027"/>
      <c r="CH1" s="1027"/>
      <c r="CI1" s="1027"/>
      <c r="CJ1" s="1027"/>
      <c r="CK1" s="1027"/>
      <c r="CL1" s="1027"/>
      <c r="CM1" s="1027"/>
      <c r="CN1" s="1027"/>
      <c r="CO1" s="1027"/>
      <c r="CP1" s="1027"/>
      <c r="CQ1" s="1027"/>
      <c r="CR1" s="1027"/>
      <c r="CS1" s="1027"/>
      <c r="CT1" s="1027"/>
      <c r="CU1" s="1027"/>
      <c r="CV1" s="1027"/>
      <c r="CW1" s="1027"/>
      <c r="CX1" s="1027"/>
      <c r="CY1" s="1027"/>
      <c r="CZ1" s="1027"/>
      <c r="DA1" s="1027"/>
      <c r="DB1" s="1027"/>
      <c r="DC1" s="1027"/>
      <c r="DD1" s="1027"/>
      <c r="DE1" s="1027"/>
    </row>
    <row r="3" spans="1:109" ht="90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T3" s="481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  <c r="AZ3" s="481"/>
      <c r="BA3" s="481"/>
      <c r="BB3" s="481"/>
      <c r="BC3" s="481"/>
      <c r="BD3" s="481"/>
      <c r="BE3" s="481"/>
      <c r="BF3" s="481"/>
      <c r="BG3" s="481"/>
      <c r="BH3" s="481"/>
      <c r="BI3" s="481"/>
      <c r="BJ3" s="481"/>
      <c r="BK3" s="481"/>
      <c r="BL3" s="481"/>
      <c r="BM3" s="481"/>
      <c r="BN3" s="481"/>
      <c r="BO3" s="481"/>
      <c r="BP3" s="481"/>
      <c r="BQ3" s="481"/>
      <c r="BR3" s="481"/>
      <c r="BS3" s="481"/>
      <c r="BT3" s="481"/>
      <c r="BU3" s="481"/>
      <c r="BV3" s="481"/>
      <c r="BW3" s="481"/>
      <c r="BX3" s="481"/>
      <c r="BY3" s="481"/>
      <c r="BZ3" s="481"/>
      <c r="CA3" s="481"/>
      <c r="CB3" s="481"/>
      <c r="CC3" s="481"/>
      <c r="CD3" s="481"/>
      <c r="CE3" s="481"/>
      <c r="CF3" s="481"/>
      <c r="CG3" s="481"/>
      <c r="CH3" s="481"/>
      <c r="CI3" s="481"/>
      <c r="CJ3" s="481"/>
      <c r="CK3" s="481"/>
      <c r="CL3" s="481"/>
      <c r="CM3" s="481"/>
      <c r="CN3" s="481"/>
      <c r="CO3" s="481"/>
      <c r="CP3" s="481"/>
      <c r="CQ3" s="481"/>
      <c r="CR3" s="481"/>
      <c r="CS3" s="481"/>
      <c r="CT3" s="481"/>
      <c r="CU3" s="481"/>
      <c r="CV3" s="481"/>
      <c r="CW3" s="481"/>
      <c r="CX3" s="481"/>
      <c r="CY3" s="481"/>
      <c r="CZ3" s="481"/>
      <c r="DA3" s="481"/>
      <c r="DB3" s="481"/>
      <c r="DC3" s="481"/>
      <c r="DD3" s="481"/>
      <c r="DE3" s="481"/>
    </row>
    <row r="4" spans="1:109" ht="23.25" customHeight="1">
      <c r="A4" s="1179"/>
      <c r="B4" s="17" t="s">
        <v>54</v>
      </c>
      <c r="C4" s="17"/>
      <c r="D4" s="1179"/>
      <c r="E4" s="1179"/>
      <c r="F4" s="6"/>
      <c r="G4" s="1179"/>
      <c r="H4" s="1179"/>
      <c r="I4" s="1179"/>
      <c r="J4" s="1179"/>
      <c r="K4" s="1179"/>
      <c r="L4" s="1288"/>
      <c r="M4" s="1179"/>
      <c r="T4" s="481"/>
      <c r="U4" s="48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</row>
    <row r="5" spans="1:109" ht="27" customHeight="1">
      <c r="A5" s="3029" t="s">
        <v>1</v>
      </c>
      <c r="B5" s="3030"/>
      <c r="C5" s="3030"/>
      <c r="D5" s="1180" t="s">
        <v>39</v>
      </c>
      <c r="E5" s="1180" t="s">
        <v>38</v>
      </c>
      <c r="F5" s="1180" t="s">
        <v>7</v>
      </c>
      <c r="G5" s="2074" t="s">
        <v>1614</v>
      </c>
      <c r="H5" s="1111" t="s">
        <v>1615</v>
      </c>
      <c r="I5" s="3143" t="s">
        <v>1616</v>
      </c>
      <c r="J5" s="3143"/>
      <c r="K5" s="3143"/>
      <c r="L5" s="3137" t="s">
        <v>1617</v>
      </c>
      <c r="M5" s="3138"/>
      <c r="T5" s="481"/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1"/>
      <c r="BO5" s="481"/>
      <c r="BP5" s="481"/>
      <c r="BQ5" s="481"/>
      <c r="BR5" s="481"/>
      <c r="BS5" s="481"/>
      <c r="BT5" s="481"/>
      <c r="BU5" s="481"/>
      <c r="BV5" s="481"/>
      <c r="BW5" s="481"/>
      <c r="BX5" s="481"/>
      <c r="BY5" s="481"/>
      <c r="BZ5" s="481"/>
      <c r="CA5" s="481"/>
      <c r="CB5" s="481"/>
      <c r="CC5" s="481"/>
      <c r="CD5" s="481"/>
      <c r="CE5" s="481"/>
      <c r="CF5" s="481"/>
      <c r="CG5" s="481"/>
      <c r="CH5" s="481"/>
      <c r="CI5" s="481"/>
      <c r="CJ5" s="481"/>
      <c r="CK5" s="481"/>
      <c r="CL5" s="481"/>
      <c r="CM5" s="481"/>
      <c r="CN5" s="481"/>
      <c r="CO5" s="481"/>
      <c r="CP5" s="481"/>
      <c r="CQ5" s="481"/>
      <c r="CR5" s="481"/>
      <c r="CS5" s="481"/>
      <c r="CT5" s="481"/>
      <c r="CU5" s="481"/>
      <c r="CV5" s="481"/>
      <c r="CW5" s="481"/>
      <c r="CX5" s="481"/>
      <c r="CY5" s="481"/>
      <c r="CZ5" s="481"/>
      <c r="DA5" s="481"/>
      <c r="DB5" s="481"/>
      <c r="DC5" s="481"/>
      <c r="DD5" s="481"/>
      <c r="DE5" s="481"/>
    </row>
    <row r="6" spans="1:109" s="20" customFormat="1" ht="30" customHeight="1">
      <c r="A6" s="2884" t="s">
        <v>1952</v>
      </c>
      <c r="B6" s="2884"/>
      <c r="C6" s="2884"/>
      <c r="D6" s="2045" t="s">
        <v>1953</v>
      </c>
      <c r="E6" s="2026" t="s">
        <v>42</v>
      </c>
      <c r="F6" s="2025" t="s">
        <v>0</v>
      </c>
      <c r="G6" s="2046">
        <f>'Полотна база'!W9*(1+скидки_наценки!$B$30)*скидки_наценки!$D$13*скидки_наценки!$F$13/скидки_наценки!$B$4</f>
        <v>35250</v>
      </c>
      <c r="H6" s="2046">
        <f>G6</f>
        <v>35250</v>
      </c>
      <c r="I6" s="3103">
        <f>G6</f>
        <v>35250</v>
      </c>
      <c r="J6" s="3103"/>
      <c r="K6" s="3103"/>
      <c r="L6" s="3103">
        <f>G6</f>
        <v>35250</v>
      </c>
      <c r="M6" s="3103"/>
      <c r="N6" s="1179"/>
      <c r="O6" s="1179"/>
      <c r="P6" s="1179"/>
      <c r="T6" s="481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  <c r="AZ6" s="481"/>
      <c r="BA6" s="481"/>
      <c r="BB6" s="481"/>
      <c r="BC6" s="481"/>
      <c r="BD6" s="481"/>
      <c r="BE6" s="481"/>
      <c r="BF6" s="481"/>
      <c r="BG6" s="481"/>
      <c r="BH6" s="481"/>
      <c r="BI6" s="481"/>
      <c r="BJ6" s="481"/>
      <c r="BK6" s="481"/>
      <c r="BL6" s="481"/>
      <c r="BM6" s="481"/>
      <c r="BN6" s="481"/>
      <c r="BO6" s="481"/>
      <c r="BP6" s="481"/>
      <c r="BQ6" s="481"/>
      <c r="BR6" s="481"/>
      <c r="BS6" s="481"/>
      <c r="BT6" s="481"/>
      <c r="BU6" s="481"/>
      <c r="BV6" s="481"/>
      <c r="BW6" s="481"/>
      <c r="BX6" s="481"/>
      <c r="BY6" s="481"/>
      <c r="BZ6" s="481"/>
      <c r="CA6" s="481"/>
      <c r="CB6" s="481"/>
      <c r="CC6" s="481"/>
      <c r="CD6" s="481"/>
      <c r="CE6" s="481"/>
      <c r="CF6" s="481"/>
      <c r="CG6" s="481"/>
      <c r="CH6" s="481"/>
      <c r="CI6" s="481"/>
      <c r="CJ6" s="481"/>
      <c r="CK6" s="481"/>
      <c r="CL6" s="481"/>
      <c r="CM6" s="481"/>
      <c r="CN6" s="481"/>
      <c r="CO6" s="481"/>
      <c r="CP6" s="481"/>
      <c r="CQ6" s="481"/>
      <c r="CR6" s="481"/>
      <c r="CS6" s="481"/>
      <c r="CT6" s="481"/>
      <c r="CU6" s="481"/>
      <c r="CV6" s="481"/>
      <c r="CW6" s="481"/>
      <c r="CX6" s="481"/>
      <c r="CY6" s="481"/>
      <c r="CZ6" s="481"/>
      <c r="DA6" s="481"/>
      <c r="DB6" s="481"/>
      <c r="DC6" s="481"/>
      <c r="DD6" s="481"/>
      <c r="DE6" s="481"/>
    </row>
    <row r="7" spans="1:109" ht="21">
      <c r="A7" s="327"/>
      <c r="B7" s="1699"/>
      <c r="C7" s="1699"/>
      <c r="D7" s="1669"/>
      <c r="E7" s="1669"/>
      <c r="F7" s="1671"/>
      <c r="G7" s="1700"/>
      <c r="H7" s="1700"/>
      <c r="I7" s="1700"/>
      <c r="J7" s="1700"/>
      <c r="K7" s="1700"/>
      <c r="L7" s="1700"/>
      <c r="M7" s="1700"/>
      <c r="N7" s="1668"/>
      <c r="O7" s="1668"/>
      <c r="P7" s="1668"/>
      <c r="Q7" s="108"/>
      <c r="T7" s="481"/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  <c r="AP7" s="481"/>
      <c r="AQ7" s="481"/>
      <c r="AR7" s="481"/>
      <c r="AS7" s="481"/>
      <c r="AT7" s="481"/>
      <c r="AU7" s="481"/>
      <c r="AV7" s="481"/>
      <c r="AW7" s="481"/>
      <c r="AX7" s="481"/>
      <c r="AY7" s="481"/>
      <c r="AZ7" s="481"/>
      <c r="BA7" s="481"/>
      <c r="BB7" s="481"/>
      <c r="BC7" s="481"/>
      <c r="BD7" s="481"/>
      <c r="BE7" s="481"/>
      <c r="BF7" s="481"/>
      <c r="BG7" s="481"/>
      <c r="BH7" s="481"/>
      <c r="BI7" s="481"/>
      <c r="BJ7" s="481"/>
      <c r="BK7" s="481"/>
      <c r="BL7" s="481"/>
      <c r="BM7" s="481"/>
      <c r="BN7" s="481"/>
      <c r="BO7" s="481"/>
      <c r="BP7" s="481"/>
      <c r="BQ7" s="481"/>
      <c r="BR7" s="481"/>
      <c r="BS7" s="481"/>
      <c r="BT7" s="481"/>
      <c r="BU7" s="481"/>
      <c r="BV7" s="481"/>
      <c r="BW7" s="481"/>
      <c r="BX7" s="481"/>
      <c r="BY7" s="481"/>
      <c r="BZ7" s="481"/>
      <c r="CA7" s="481"/>
      <c r="CB7" s="481"/>
      <c r="CC7" s="481"/>
      <c r="CD7" s="481"/>
      <c r="CE7" s="481"/>
      <c r="CF7" s="481"/>
      <c r="CG7" s="481"/>
      <c r="CH7" s="481"/>
      <c r="CI7" s="481"/>
      <c r="CJ7" s="481"/>
      <c r="CK7" s="481"/>
      <c r="CL7" s="481"/>
      <c r="CM7" s="481"/>
      <c r="CN7" s="481"/>
      <c r="CO7" s="481"/>
      <c r="CP7" s="481"/>
      <c r="CQ7" s="481"/>
      <c r="CR7" s="481"/>
      <c r="CS7" s="481"/>
      <c r="CT7" s="481"/>
      <c r="CU7" s="481"/>
      <c r="CV7" s="481"/>
      <c r="CW7" s="481"/>
      <c r="CX7" s="481"/>
      <c r="CY7" s="481"/>
      <c r="CZ7" s="481"/>
      <c r="DA7" s="481"/>
      <c r="DB7" s="481"/>
      <c r="DC7" s="481"/>
      <c r="DD7" s="481"/>
      <c r="DE7" s="481"/>
    </row>
    <row r="8" spans="1:109" ht="18.75" customHeight="1">
      <c r="F8" s="47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  <c r="AP8" s="481"/>
      <c r="AQ8" s="481"/>
      <c r="AR8" s="481"/>
      <c r="AS8" s="481"/>
      <c r="AT8" s="481"/>
      <c r="AU8" s="481"/>
      <c r="AV8" s="481"/>
      <c r="AW8" s="481"/>
      <c r="AX8" s="481"/>
      <c r="AY8" s="481"/>
      <c r="AZ8" s="481"/>
      <c r="BA8" s="481"/>
      <c r="BB8" s="481"/>
      <c r="BC8" s="481"/>
      <c r="BD8" s="481"/>
      <c r="BE8" s="481"/>
      <c r="BF8" s="481"/>
      <c r="BG8" s="481"/>
      <c r="BH8" s="481"/>
      <c r="BI8" s="481"/>
      <c r="BJ8" s="481"/>
      <c r="BK8" s="481"/>
      <c r="BL8" s="481"/>
      <c r="BM8" s="481"/>
      <c r="BN8" s="481"/>
      <c r="BO8" s="481"/>
      <c r="BP8" s="481"/>
      <c r="BQ8" s="481"/>
      <c r="BR8" s="481"/>
      <c r="BS8" s="481"/>
      <c r="BT8" s="481"/>
      <c r="BU8" s="481"/>
      <c r="BV8" s="481"/>
      <c r="BW8" s="481"/>
      <c r="BX8" s="481"/>
      <c r="BY8" s="481"/>
      <c r="BZ8" s="481"/>
      <c r="CA8" s="481"/>
      <c r="CB8" s="481"/>
      <c r="CC8" s="481"/>
      <c r="CD8" s="481"/>
      <c r="CE8" s="481"/>
      <c r="CF8" s="481"/>
      <c r="CG8" s="481"/>
      <c r="CH8" s="481"/>
      <c r="CI8" s="481"/>
      <c r="CJ8" s="481"/>
      <c r="CK8" s="481"/>
      <c r="CL8" s="481"/>
      <c r="CM8" s="481"/>
      <c r="CN8" s="481"/>
      <c r="CO8" s="481"/>
      <c r="CP8" s="481"/>
      <c r="CQ8" s="481"/>
      <c r="CR8" s="481"/>
      <c r="CS8" s="481"/>
      <c r="CT8" s="481"/>
      <c r="CU8" s="481"/>
      <c r="CV8" s="481"/>
      <c r="CW8" s="481"/>
      <c r="CX8" s="481"/>
      <c r="CY8" s="481"/>
      <c r="CZ8" s="481"/>
      <c r="DA8" s="481"/>
      <c r="DB8" s="481"/>
      <c r="DC8" s="481"/>
      <c r="DD8" s="481"/>
      <c r="DE8" s="481"/>
    </row>
    <row r="9" spans="1:109" ht="105.75" customHeight="1">
      <c r="B9" s="29"/>
      <c r="C9" s="29"/>
    </row>
    <row r="10" spans="1:109">
      <c r="A10" s="1179"/>
      <c r="B10" s="17" t="s">
        <v>24</v>
      </c>
      <c r="C10" s="323"/>
      <c r="D10" s="303"/>
      <c r="E10" s="303"/>
      <c r="F10" s="303"/>
      <c r="G10" s="303"/>
      <c r="H10" s="303"/>
      <c r="I10" s="303"/>
      <c r="J10" s="303"/>
      <c r="K10" s="303"/>
      <c r="L10" s="303"/>
      <c r="M10" s="303"/>
    </row>
    <row r="11" spans="1:109" ht="14.45" customHeight="1">
      <c r="A11" s="2881" t="s">
        <v>36</v>
      </c>
      <c r="B11" s="2883"/>
      <c r="C11" s="2973" t="s">
        <v>166</v>
      </c>
      <c r="D11" s="2975"/>
      <c r="E11" s="3153" t="s">
        <v>37</v>
      </c>
      <c r="F11" s="3153" t="s">
        <v>35</v>
      </c>
      <c r="G11" s="1350" t="str">
        <f>G5</f>
        <v xml:space="preserve">Belluno1 </v>
      </c>
      <c r="H11" s="1350" t="str">
        <f>H5</f>
        <v xml:space="preserve">Belluno2 </v>
      </c>
      <c r="I11" s="1758" t="str">
        <f>I5</f>
        <v>Belluno3/3b</v>
      </c>
      <c r="J11" s="1760"/>
      <c r="K11" s="1758" t="s">
        <v>1763</v>
      </c>
      <c r="L11" s="3139" t="str">
        <f>L5</f>
        <v>Belluno4</v>
      </c>
      <c r="M11" s="3140"/>
    </row>
    <row r="12" spans="1:109">
      <c r="A12" s="3032"/>
      <c r="B12" s="3033"/>
      <c r="C12" s="3130"/>
      <c r="D12" s="3131"/>
      <c r="E12" s="3154"/>
      <c r="F12" s="3154"/>
      <c r="G12" s="1350" t="s">
        <v>21</v>
      </c>
      <c r="H12" s="1350" t="s">
        <v>21</v>
      </c>
      <c r="I12" s="1350" t="s">
        <v>21</v>
      </c>
      <c r="J12" s="1350"/>
      <c r="K12" s="1350" t="s">
        <v>22</v>
      </c>
      <c r="L12" s="1350" t="s">
        <v>21</v>
      </c>
      <c r="M12" s="1350" t="s">
        <v>22</v>
      </c>
    </row>
    <row r="13" spans="1:109" s="18" customFormat="1" ht="15" customHeight="1">
      <c r="A13" s="2946"/>
      <c r="B13" s="2948"/>
      <c r="C13" s="2976"/>
      <c r="D13" s="2978"/>
      <c r="E13" s="3155"/>
      <c r="F13" s="3155"/>
      <c r="G13" s="1131" t="s">
        <v>1406</v>
      </c>
      <c r="H13" s="1131" t="s">
        <v>176</v>
      </c>
      <c r="I13" s="1131" t="s">
        <v>176</v>
      </c>
      <c r="J13" s="1131" t="s">
        <v>176</v>
      </c>
      <c r="K13" s="1131" t="s">
        <v>176</v>
      </c>
      <c r="L13" s="1131" t="s">
        <v>176</v>
      </c>
      <c r="M13" s="1131" t="s">
        <v>176</v>
      </c>
    </row>
    <row r="14" spans="1:109" s="1179" customFormat="1" ht="25.15" customHeight="1">
      <c r="A14" s="3036" t="s">
        <v>30</v>
      </c>
      <c r="B14" s="3037"/>
      <c r="C14" s="3146" t="s">
        <v>29</v>
      </c>
      <c r="D14" s="3147"/>
      <c r="E14" s="116" t="s">
        <v>170</v>
      </c>
      <c r="F14" s="42" t="s">
        <v>3</v>
      </c>
      <c r="G14" s="310">
        <f>Neoclassic!G15</f>
        <v>2330</v>
      </c>
      <c r="H14" s="310">
        <f>Neoclassic!H15</f>
        <v>1050</v>
      </c>
      <c r="I14" s="310">
        <f>Neoclassic!L15</f>
        <v>1100</v>
      </c>
      <c r="J14" s="310"/>
      <c r="K14" s="310">
        <f>Neoclassic!N15</f>
        <v>330</v>
      </c>
      <c r="L14" s="1344">
        <f>H14</f>
        <v>1050</v>
      </c>
      <c r="M14" s="310">
        <f>Neoclassic!M15</f>
        <v>770</v>
      </c>
      <c r="N14" s="321"/>
    </row>
    <row r="15" spans="1:109" s="1179" customFormat="1" ht="25.15" customHeight="1">
      <c r="A15" s="3038"/>
      <c r="B15" s="3039"/>
      <c r="C15" s="3148" t="s">
        <v>1180</v>
      </c>
      <c r="D15" s="3149"/>
      <c r="E15" s="170" t="s">
        <v>171</v>
      </c>
      <c r="F15" s="167" t="s">
        <v>3</v>
      </c>
      <c r="G15" s="1290">
        <f>Neoclassic!G16</f>
        <v>2810</v>
      </c>
      <c r="H15" s="1290">
        <f>Neoclassic!H16</f>
        <v>1365</v>
      </c>
      <c r="I15" s="1290">
        <f>Neoclassic!L16</f>
        <v>1430</v>
      </c>
      <c r="J15" s="1290"/>
      <c r="K15" s="1290">
        <f>Neoclassic!N16</f>
        <v>430</v>
      </c>
      <c r="L15" s="1290">
        <f>H15</f>
        <v>1365</v>
      </c>
      <c r="M15" s="1290">
        <f>Neoclassic!M16</f>
        <v>1010</v>
      </c>
      <c r="N15" s="321"/>
    </row>
    <row r="16" spans="1:109" s="1179" customFormat="1" ht="25.15" customHeight="1">
      <c r="A16" s="3040"/>
      <c r="B16" s="3041"/>
      <c r="C16" s="3150" t="s">
        <v>1181</v>
      </c>
      <c r="D16" s="3151"/>
      <c r="E16" s="682" t="s">
        <v>171</v>
      </c>
      <c r="F16" s="1287" t="s">
        <v>3</v>
      </c>
      <c r="G16" s="277">
        <f>Neoclassic!G17</f>
        <v>3370</v>
      </c>
      <c r="H16" s="277">
        <f>Neoclassic!H17</f>
        <v>1735</v>
      </c>
      <c r="I16" s="277">
        <f>Neoclassic!L17</f>
        <v>1815</v>
      </c>
      <c r="J16" s="277"/>
      <c r="K16" s="277">
        <f>Neoclassic!N17</f>
        <v>550</v>
      </c>
      <c r="L16" s="277">
        <f>H16</f>
        <v>1735</v>
      </c>
      <c r="M16" s="277">
        <f>Neoclassic!O17</f>
        <v>1280</v>
      </c>
      <c r="N16" s="321"/>
    </row>
    <row r="17" spans="1:17" s="1179" customFormat="1" ht="39" customHeight="1">
      <c r="A17" s="3156" t="s">
        <v>1179</v>
      </c>
      <c r="B17" s="3157"/>
      <c r="C17" s="3128" t="s">
        <v>1060</v>
      </c>
      <c r="D17" s="3129"/>
      <c r="E17" s="162" t="s">
        <v>171</v>
      </c>
      <c r="F17" s="125" t="s">
        <v>3</v>
      </c>
      <c r="G17" s="311">
        <f>Neoclassic!G18</f>
        <v>3020</v>
      </c>
      <c r="H17" s="311">
        <f>Neoclassic!H18</f>
        <v>1505</v>
      </c>
      <c r="I17" s="311">
        <f>Neoclassic!L18</f>
        <v>1575</v>
      </c>
      <c r="J17" s="311"/>
      <c r="K17" s="311">
        <f>Neoclassic!N18</f>
        <v>480</v>
      </c>
      <c r="L17" s="1352">
        <f>H17</f>
        <v>1505</v>
      </c>
      <c r="M17" s="311">
        <f>Neoclassic!O18</f>
        <v>1120</v>
      </c>
      <c r="N17" s="321"/>
    </row>
    <row r="18" spans="1:17" s="20" customFormat="1" ht="25.15" customHeight="1">
      <c r="A18" s="3049" t="s">
        <v>169</v>
      </c>
      <c r="B18" s="3050"/>
      <c r="C18" s="3132" t="s">
        <v>168</v>
      </c>
      <c r="D18" s="3133"/>
      <c r="E18" s="682" t="s">
        <v>171</v>
      </c>
      <c r="F18" s="349" t="s">
        <v>886</v>
      </c>
      <c r="G18" s="310">
        <f>Neoclassic!G19</f>
        <v>3440</v>
      </c>
      <c r="H18" s="310">
        <f>Neoclassic!H19</f>
        <v>1775</v>
      </c>
      <c r="I18" s="310">
        <f>Neoclassic!L19</f>
        <v>1860</v>
      </c>
      <c r="J18" s="310"/>
      <c r="K18" s="310">
        <f>Neoclassic!N19</f>
        <v>560</v>
      </c>
      <c r="L18" s="1344">
        <f>H18</f>
        <v>1775</v>
      </c>
      <c r="M18" s="310">
        <f>Neoclassic!O19</f>
        <v>1320</v>
      </c>
      <c r="N18" s="321"/>
    </row>
    <row r="19" spans="1:17" s="60" customFormat="1" ht="15" customHeight="1">
      <c r="A19" s="3144" t="s">
        <v>1303</v>
      </c>
      <c r="B19" s="3145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322"/>
    </row>
    <row r="20" spans="1:17" s="20" customFormat="1" ht="18" customHeight="1">
      <c r="A20" s="3053" t="s">
        <v>178</v>
      </c>
      <c r="B20" s="3053"/>
      <c r="C20" s="3053" t="s">
        <v>304</v>
      </c>
      <c r="D20" s="3053"/>
      <c r="E20" s="3053"/>
      <c r="F20" s="3053"/>
      <c r="G20" s="1831" t="s">
        <v>1311</v>
      </c>
      <c r="H20" s="279">
        <f>Neoclassic!H21</f>
        <v>750</v>
      </c>
      <c r="I20" s="279">
        <f>Neoclassic!L21</f>
        <v>550</v>
      </c>
      <c r="J20" s="279"/>
      <c r="K20" s="279">
        <f>Neoclassic!N21</f>
        <v>200</v>
      </c>
      <c r="L20" s="696">
        <f>H20</f>
        <v>750</v>
      </c>
      <c r="M20" s="279">
        <f>Neoclassic!O21</f>
        <v>200</v>
      </c>
      <c r="N20" s="322"/>
    </row>
    <row r="21" spans="1:17" s="20" customFormat="1" ht="45" customHeight="1">
      <c r="A21" s="3054" t="s">
        <v>234</v>
      </c>
      <c r="B21" s="3055"/>
      <c r="C21" s="3056" t="s">
        <v>305</v>
      </c>
      <c r="D21" s="3056"/>
      <c r="E21" s="3056"/>
      <c r="F21" s="3056"/>
      <c r="G21" s="1353" t="s">
        <v>1192</v>
      </c>
      <c r="H21" s="1349">
        <f>Neoclassic!H22</f>
        <v>730</v>
      </c>
      <c r="I21" s="1349">
        <f>Neoclassic!L22</f>
        <v>520</v>
      </c>
      <c r="J21" s="1349"/>
      <c r="K21" s="1349">
        <f>Neoclassic!N22</f>
        <v>160</v>
      </c>
      <c r="L21" s="1090">
        <f>H21</f>
        <v>730</v>
      </c>
      <c r="M21" s="1349">
        <f>Neoclassic!O22</f>
        <v>160</v>
      </c>
      <c r="N21" s="368"/>
      <c r="O21" s="369"/>
      <c r="P21" s="369"/>
      <c r="Q21" s="369"/>
    </row>
    <row r="22" spans="1:17" s="20" customFormat="1" ht="15.75">
      <c r="A22" s="1091"/>
      <c r="B22" s="1091"/>
      <c r="C22" s="1091"/>
      <c r="D22" s="1091"/>
      <c r="E22" s="1091"/>
      <c r="F22" s="1091"/>
      <c r="G22" s="1089"/>
      <c r="H22" s="1089"/>
      <c r="I22" s="1089"/>
      <c r="J22" s="1089"/>
      <c r="K22" s="1089"/>
      <c r="L22" s="1089"/>
      <c r="M22" s="1089"/>
      <c r="N22" s="369"/>
      <c r="O22" s="369"/>
      <c r="P22" s="369"/>
      <c r="Q22" s="369"/>
    </row>
    <row r="23" spans="1:17">
      <c r="A23" s="1179"/>
      <c r="B23" s="17" t="s">
        <v>19</v>
      </c>
      <c r="C23" s="17"/>
      <c r="D23" s="1179"/>
      <c r="E23" s="1179"/>
      <c r="F23" s="1179"/>
      <c r="G23" s="6"/>
      <c r="H23" s="1179"/>
      <c r="I23" s="1179"/>
      <c r="J23" s="1179"/>
      <c r="K23" s="1179"/>
      <c r="L23" s="1288"/>
      <c r="M23" s="1179"/>
    </row>
    <row r="24" spans="1:17" ht="14.45" customHeight="1">
      <c r="A24" s="3134" t="s">
        <v>2</v>
      </c>
      <c r="B24" s="3135"/>
      <c r="C24" s="3135"/>
      <c r="D24" s="3135"/>
      <c r="E24" s="3135"/>
      <c r="F24" s="3136"/>
      <c r="G24" s="1351" t="str">
        <f>G11</f>
        <v xml:space="preserve">Belluno1 </v>
      </c>
      <c r="H24" s="1291" t="str">
        <f>H11</f>
        <v xml:space="preserve">Belluno2 </v>
      </c>
      <c r="I24" s="3141" t="str">
        <f>I11</f>
        <v>Belluno3/3b</v>
      </c>
      <c r="J24" s="3152"/>
      <c r="K24" s="3142"/>
      <c r="L24" s="3141" t="str">
        <f>L5</f>
        <v>Belluno4</v>
      </c>
      <c r="M24" s="3142"/>
    </row>
    <row r="25" spans="1:17" s="1179" customFormat="1" ht="15" customHeight="1">
      <c r="A25" s="3002" t="s">
        <v>874</v>
      </c>
      <c r="B25" s="3025"/>
      <c r="C25" s="3003"/>
      <c r="D25" s="3088" t="s">
        <v>868</v>
      </c>
      <c r="E25" s="3089"/>
      <c r="F25" s="3090"/>
      <c r="G25" s="1181">
        <f>Neoclassic!G26</f>
        <v>10000</v>
      </c>
      <c r="H25" s="1181">
        <f>Neoclassic!H26</f>
        <v>6750</v>
      </c>
      <c r="I25" s="710" t="s">
        <v>3</v>
      </c>
      <c r="J25" s="710" t="s">
        <v>3</v>
      </c>
      <c r="K25" s="710" t="s">
        <v>3</v>
      </c>
      <c r="L25" s="710" t="s">
        <v>3</v>
      </c>
      <c r="M25" s="710" t="s">
        <v>3</v>
      </c>
    </row>
    <row r="26" spans="1:17" s="60" customFormat="1" ht="15" customHeight="1">
      <c r="A26" s="3004"/>
      <c r="B26" s="3077"/>
      <c r="C26" s="3005"/>
      <c r="D26" s="3091" t="s">
        <v>1404</v>
      </c>
      <c r="E26" s="3092"/>
      <c r="F26" s="3093"/>
      <c r="G26" s="1182">
        <f>Neoclassic!G27</f>
        <v>13000</v>
      </c>
      <c r="H26" s="1289">
        <f>Neoclassic!H27</f>
        <v>8800</v>
      </c>
      <c r="I26" s="711" t="s">
        <v>3</v>
      </c>
      <c r="J26" s="711" t="s">
        <v>3</v>
      </c>
      <c r="K26" s="711" t="s">
        <v>3</v>
      </c>
      <c r="L26" s="711" t="s">
        <v>3</v>
      </c>
      <c r="M26" s="711" t="s">
        <v>3</v>
      </c>
    </row>
    <row r="27" spans="1:17" ht="18" customHeight="1">
      <c r="A27" s="26"/>
      <c r="B27" s="37"/>
      <c r="C27" s="37"/>
      <c r="F27" s="471"/>
      <c r="K27" s="43"/>
      <c r="L27" s="43"/>
    </row>
    <row r="28" spans="1:17" ht="18" customHeight="1">
      <c r="A28" s="26"/>
      <c r="B28" s="37"/>
      <c r="C28" s="37"/>
      <c r="F28" s="471"/>
      <c r="K28" s="43"/>
      <c r="L28" s="43"/>
    </row>
    <row r="29" spans="1:17" ht="18" customHeight="1">
      <c r="A29" s="26"/>
      <c r="B29" s="37"/>
      <c r="C29" s="37"/>
      <c r="F29" s="471"/>
      <c r="K29" s="43"/>
      <c r="L29" s="43"/>
    </row>
    <row r="30" spans="1:17" ht="18" customHeight="1">
      <c r="A30" s="26"/>
      <c r="B30" s="37"/>
      <c r="C30" s="37"/>
      <c r="F30" s="471"/>
      <c r="K30" s="43"/>
      <c r="L30" s="43"/>
    </row>
    <row r="31" spans="1:17" ht="15" customHeight="1">
      <c r="A31" s="1179"/>
      <c r="B31" s="17"/>
      <c r="C31" s="17"/>
      <c r="D31" s="1179"/>
      <c r="E31" s="1179"/>
      <c r="F31" s="6"/>
      <c r="G31" s="1179"/>
      <c r="H31" s="1179"/>
      <c r="I31" s="1179"/>
      <c r="J31" s="1179"/>
      <c r="K31" s="1179"/>
      <c r="L31" s="1288"/>
      <c r="M31" s="1179"/>
    </row>
    <row r="32" spans="1:17" ht="18" customHeight="1">
      <c r="A32" s="1179"/>
      <c r="B32" s="20"/>
      <c r="C32" s="20"/>
      <c r="D32" s="1179"/>
      <c r="E32" s="1179"/>
      <c r="F32" s="6"/>
      <c r="G32" s="1179"/>
      <c r="H32" s="1179"/>
      <c r="I32" s="1179"/>
      <c r="J32" s="1179"/>
      <c r="K32" s="1179"/>
      <c r="L32" s="1288"/>
      <c r="M32" s="1179"/>
    </row>
    <row r="33" spans="1:13" ht="18" customHeight="1">
      <c r="A33" s="1179"/>
      <c r="H33" s="1179"/>
      <c r="K33" s="1179"/>
      <c r="L33" s="1288"/>
      <c r="M33" s="1179"/>
    </row>
    <row r="34" spans="1:13" ht="18" customHeight="1">
      <c r="A34" s="1179"/>
      <c r="H34" s="1179"/>
      <c r="K34" s="1179"/>
      <c r="L34" s="1288"/>
      <c r="M34" s="1179"/>
    </row>
    <row r="35" spans="1:13" ht="18" customHeight="1">
      <c r="A35" s="1179"/>
      <c r="B35" s="44"/>
      <c r="C35" s="44"/>
      <c r="D35" s="44"/>
      <c r="E35" s="44"/>
      <c r="F35" s="6"/>
      <c r="G35" s="1179"/>
      <c r="H35" s="44"/>
      <c r="I35" s="1179"/>
      <c r="J35" s="1179"/>
      <c r="K35" s="1179"/>
      <c r="L35" s="1288"/>
    </row>
    <row r="36" spans="1:13" ht="18" customHeight="1">
      <c r="A36" s="1179"/>
      <c r="B36" s="20"/>
      <c r="C36" s="20"/>
      <c r="D36" s="1179"/>
      <c r="E36" s="1179"/>
      <c r="F36" s="6"/>
      <c r="G36" s="1179"/>
      <c r="H36" s="44"/>
      <c r="I36" s="1179"/>
      <c r="J36" s="1179"/>
      <c r="K36" s="1179"/>
      <c r="L36" s="1288"/>
      <c r="M36" s="44"/>
    </row>
    <row r="37" spans="1:13" ht="18" customHeight="1">
      <c r="A37" s="1179"/>
      <c r="B37" s="20"/>
      <c r="C37" s="20"/>
      <c r="D37" s="1179"/>
      <c r="E37" s="1179"/>
      <c r="F37" s="6"/>
      <c r="G37" s="1179"/>
      <c r="H37" s="44"/>
      <c r="I37" s="1179"/>
      <c r="J37" s="1179"/>
      <c r="K37" s="1179"/>
      <c r="L37" s="1288"/>
      <c r="M37" s="44"/>
    </row>
    <row r="38" spans="1:13" ht="18" customHeight="1">
      <c r="A38" s="1179"/>
      <c r="B38" s="20"/>
      <c r="C38" s="20"/>
      <c r="D38" s="1179"/>
      <c r="E38" s="1179"/>
      <c r="F38" s="6"/>
      <c r="G38" s="1179"/>
      <c r="H38" s="1179"/>
      <c r="I38" s="1179"/>
      <c r="J38" s="1179"/>
      <c r="K38" s="1179"/>
      <c r="L38" s="1288"/>
      <c r="M38" s="1179"/>
    </row>
    <row r="39" spans="1:13" ht="18" customHeight="1">
      <c r="A39" s="26"/>
      <c r="B39" s="26"/>
      <c r="C39" s="26"/>
      <c r="D39" s="26"/>
      <c r="E39" s="26"/>
      <c r="F39" s="26"/>
      <c r="G39" s="27"/>
      <c r="H39" s="27"/>
      <c r="I39" s="27"/>
      <c r="J39" s="27"/>
      <c r="K39" s="27"/>
      <c r="L39" s="27"/>
      <c r="M39" s="27"/>
    </row>
    <row r="40" spans="1:13" ht="18" customHeight="1">
      <c r="A40" s="26"/>
      <c r="B40" s="39"/>
      <c r="C40" s="39"/>
      <c r="D40" s="39"/>
      <c r="E40" s="39"/>
      <c r="F40" s="39"/>
      <c r="G40" s="39"/>
      <c r="H40" s="27"/>
      <c r="I40" s="27"/>
      <c r="J40" s="27"/>
      <c r="K40" s="27"/>
      <c r="L40" s="27"/>
      <c r="M40" s="27"/>
    </row>
    <row r="41" spans="1:13" ht="18" customHeight="1">
      <c r="A41" s="26"/>
      <c r="B41" s="39"/>
      <c r="C41" s="39"/>
      <c r="D41" s="39"/>
      <c r="E41" s="39"/>
      <c r="F41" s="39"/>
      <c r="G41" s="39"/>
      <c r="H41" s="27"/>
      <c r="I41" s="27"/>
      <c r="J41" s="27"/>
      <c r="K41" s="27"/>
      <c r="L41" s="27"/>
      <c r="M41" s="27"/>
    </row>
    <row r="42" spans="1:13" ht="18" customHeight="1">
      <c r="B42" s="29"/>
      <c r="C42" s="29"/>
      <c r="F42" s="471"/>
    </row>
    <row r="43" spans="1:13" ht="18" customHeight="1">
      <c r="B43" s="29"/>
      <c r="C43" s="29"/>
      <c r="F43" s="471"/>
    </row>
    <row r="44" spans="1:13" ht="18" customHeight="1">
      <c r="B44" s="14"/>
      <c r="C44" s="14"/>
      <c r="F44" s="471"/>
    </row>
    <row r="45" spans="1:13" ht="18" customHeight="1">
      <c r="B45" s="14"/>
      <c r="C45" s="14"/>
      <c r="F45" s="471"/>
    </row>
    <row r="46" spans="1:13" ht="18" customHeight="1">
      <c r="B46" s="17"/>
      <c r="C46" s="14"/>
      <c r="F46" s="471"/>
    </row>
    <row r="47" spans="1:13" ht="18" customHeight="1">
      <c r="B47" s="44"/>
      <c r="C47" s="44"/>
      <c r="D47" s="44"/>
      <c r="E47" s="44"/>
      <c r="F47" s="44"/>
      <c r="G47" s="44"/>
    </row>
    <row r="48" spans="1:13" ht="18" customHeight="1">
      <c r="B48" s="44"/>
      <c r="C48" s="44"/>
      <c r="D48" s="44"/>
      <c r="E48" s="44"/>
      <c r="F48" s="44"/>
      <c r="G48" s="44"/>
    </row>
    <row r="49" spans="1:13" ht="15" customHeight="1">
      <c r="A49" s="1179"/>
      <c r="C49" s="17"/>
      <c r="D49" s="1179"/>
      <c r="E49" s="1179"/>
      <c r="F49" s="6"/>
      <c r="G49" s="1179"/>
      <c r="H49" s="1179"/>
      <c r="I49" s="1179"/>
      <c r="J49" s="1179"/>
      <c r="K49" s="1179"/>
      <c r="L49" s="1288"/>
      <c r="M49" s="1179"/>
    </row>
    <row r="50" spans="1:13" ht="18" customHeight="1"/>
    <row r="51" spans="1:13" ht="18" customHeight="1"/>
    <row r="52" spans="1:13" ht="18" customHeight="1"/>
    <row r="53" spans="1:13" ht="18" customHeight="1"/>
    <row r="54" spans="1:13" ht="18" customHeight="1"/>
    <row r="55" spans="1:13" ht="18" customHeight="1"/>
    <row r="56" spans="1:13" ht="18" customHeight="1"/>
    <row r="57" spans="1:13" ht="18" customHeight="1"/>
    <row r="58" spans="1:13" ht="18" customHeight="1"/>
    <row r="59" spans="1:13" ht="18" customHeight="1"/>
    <row r="60" spans="1:13" ht="18" customHeight="1"/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</sheetData>
  <mergeCells count="30">
    <mergeCell ref="L5:M5"/>
    <mergeCell ref="L11:M11"/>
    <mergeCell ref="L24:M24"/>
    <mergeCell ref="A5:C5"/>
    <mergeCell ref="I5:K5"/>
    <mergeCell ref="A19:B19"/>
    <mergeCell ref="I6:K6"/>
    <mergeCell ref="A14:B16"/>
    <mergeCell ref="C14:D14"/>
    <mergeCell ref="C15:D15"/>
    <mergeCell ref="C16:D16"/>
    <mergeCell ref="L6:M6"/>
    <mergeCell ref="I24:K24"/>
    <mergeCell ref="E11:E13"/>
    <mergeCell ref="F11:F13"/>
    <mergeCell ref="A17:B17"/>
    <mergeCell ref="C17:D17"/>
    <mergeCell ref="A11:B13"/>
    <mergeCell ref="C11:D13"/>
    <mergeCell ref="A6:C6"/>
    <mergeCell ref="A25:C26"/>
    <mergeCell ref="D25:F25"/>
    <mergeCell ref="D26:F26"/>
    <mergeCell ref="A18:B18"/>
    <mergeCell ref="C18:D18"/>
    <mergeCell ref="A20:B20"/>
    <mergeCell ref="C20:F20"/>
    <mergeCell ref="A21:B21"/>
    <mergeCell ref="C21:F21"/>
    <mergeCell ref="A24:F24"/>
  </mergeCells>
  <conditionalFormatting sqref="G42:H46 G9:H9">
    <cfRule type="cellIs" dxfId="28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5" firstPageNumber="20" orientation="landscape" useFirstPageNumber="1" r:id="rId1"/>
  <headerFooter>
    <oddFooter>&amp;L&amp;P&amp;R&amp;G</oddFooter>
  </headerFooter>
  <rowBreaks count="2" manualBreakCount="2">
    <brk id="26" max="11" man="1"/>
    <brk id="71" max="1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P32"/>
  <sheetViews>
    <sheetView view="pageBreakPreview" topLeftCell="A3" zoomScaleNormal="100" zoomScaleSheetLayoutView="100" workbookViewId="0">
      <selection activeCell="G39" sqref="G39"/>
    </sheetView>
  </sheetViews>
  <sheetFormatPr defaultColWidth="9.140625" defaultRowHeight="15" outlineLevelRow="1" outlineLevelCol="1"/>
  <cols>
    <col min="1" max="1" width="13.5703125" style="563" customWidth="1"/>
    <col min="2" max="2" width="18.85546875" style="563" customWidth="1"/>
    <col min="3" max="3" width="8.140625" style="745" hidden="1" customWidth="1" outlineLevel="1"/>
    <col min="4" max="4" width="13.5703125" style="745" hidden="1" customWidth="1" outlineLevel="1"/>
    <col min="5" max="5" width="18" style="560" customWidth="1" collapsed="1"/>
    <col min="6" max="6" width="13.85546875" style="734" hidden="1" customWidth="1" outlineLevel="1"/>
    <col min="7" max="7" width="22.140625" style="562" customWidth="1" collapsed="1"/>
    <col min="8" max="8" width="9.140625" style="562"/>
    <col min="9" max="9" width="16.28515625" style="562" customWidth="1"/>
    <col min="10" max="16384" width="9.140625" style="562"/>
  </cols>
  <sheetData>
    <row r="1" spans="1:16" ht="39" hidden="1" customHeight="1" outlineLevel="1">
      <c r="B1" s="578" t="s">
        <v>677</v>
      </c>
    </row>
    <row r="2" spans="1:16" ht="210.75" hidden="1" customHeight="1" outlineLevel="1">
      <c r="B2" s="2537" t="s">
        <v>678</v>
      </c>
      <c r="C2" s="2537"/>
      <c r="D2" s="2537"/>
      <c r="E2" s="2537"/>
      <c r="F2" s="2537"/>
      <c r="G2" s="2537"/>
    </row>
    <row r="3" spans="1:16" ht="15.75" collapsed="1" thickBot="1">
      <c r="A3" s="559"/>
      <c r="F3" s="748"/>
      <c r="G3" s="561"/>
    </row>
    <row r="4" spans="1:16" ht="15.75" thickBot="1">
      <c r="A4" s="559" t="s">
        <v>673</v>
      </c>
      <c r="B4" s="586">
        <v>1</v>
      </c>
    </row>
    <row r="5" spans="1:16">
      <c r="B5" s="563" t="s">
        <v>674</v>
      </c>
    </row>
    <row r="6" spans="1:16">
      <c r="I6" s="563" t="s">
        <v>189</v>
      </c>
    </row>
    <row r="7" spans="1:16">
      <c r="I7" s="563" t="s">
        <v>189</v>
      </c>
    </row>
    <row r="8" spans="1:16" ht="45">
      <c r="A8" s="553" t="s">
        <v>668</v>
      </c>
      <c r="B8" s="564"/>
      <c r="C8" s="746"/>
      <c r="D8" s="746"/>
      <c r="E8" s="565" t="s">
        <v>672</v>
      </c>
      <c r="F8" s="749"/>
      <c r="G8" s="648" t="s">
        <v>854</v>
      </c>
      <c r="I8" s="566"/>
    </row>
    <row r="9" spans="1:16" s="566" customFormat="1" collapsed="1">
      <c r="A9" s="579"/>
      <c r="B9" s="567" t="s">
        <v>1587</v>
      </c>
      <c r="C9" s="744"/>
      <c r="D9" s="744"/>
      <c r="E9" s="568"/>
      <c r="F9" s="743"/>
      <c r="G9" s="649"/>
      <c r="O9" s="647"/>
      <c r="P9" s="647"/>
    </row>
    <row r="10" spans="1:16" s="734" customFormat="1" hidden="1">
      <c r="A10" s="730">
        <v>1.65</v>
      </c>
      <c r="B10" s="731" t="s">
        <v>671</v>
      </c>
      <c r="C10" s="732">
        <f>1-E10</f>
        <v>0</v>
      </c>
      <c r="D10" s="732">
        <f>IF(C10&lt;=0,C24,C10)</f>
        <v>1</v>
      </c>
      <c r="E10" s="733">
        <f>E11</f>
        <v>1</v>
      </c>
      <c r="F10" s="732">
        <f>G10</f>
        <v>1</v>
      </c>
      <c r="G10" s="650">
        <f>G13</f>
        <v>1</v>
      </c>
    </row>
    <row r="11" spans="1:16" s="734" customFormat="1" hidden="1">
      <c r="A11" s="730">
        <v>1.65</v>
      </c>
      <c r="B11" s="731" t="s">
        <v>751</v>
      </c>
      <c r="C11" s="732">
        <f>1-E11</f>
        <v>0</v>
      </c>
      <c r="D11" s="732">
        <f>IF(C11&lt;=0,C24,C11)</f>
        <v>1</v>
      </c>
      <c r="E11" s="733">
        <f>E13</f>
        <v>1</v>
      </c>
      <c r="F11" s="732">
        <f>G11</f>
        <v>1</v>
      </c>
      <c r="G11" s="650">
        <f>G13</f>
        <v>1</v>
      </c>
      <c r="I11" s="735"/>
      <c r="L11" s="736"/>
    </row>
    <row r="12" spans="1:16" s="735" customFormat="1" ht="33.75" hidden="1">
      <c r="A12" s="737"/>
      <c r="B12" s="738" t="s">
        <v>676</v>
      </c>
      <c r="C12" s="739"/>
      <c r="D12" s="739"/>
      <c r="E12" s="739"/>
      <c r="F12" s="739"/>
      <c r="G12" s="739"/>
      <c r="I12" s="734"/>
      <c r="L12" s="740"/>
    </row>
    <row r="13" spans="1:16">
      <c r="A13" s="555">
        <v>1.65</v>
      </c>
      <c r="B13" s="569"/>
      <c r="C13" s="732">
        <f>1-E13</f>
        <v>0</v>
      </c>
      <c r="D13" s="732">
        <f>IF(C13&lt;=0,C24,C13)</f>
        <v>1</v>
      </c>
      <c r="E13" s="570">
        <v>1</v>
      </c>
      <c r="F13" s="732">
        <f>G13</f>
        <v>1</v>
      </c>
      <c r="G13" s="570">
        <v>1</v>
      </c>
      <c r="I13" s="571"/>
      <c r="L13" s="560"/>
    </row>
    <row r="14" spans="1:16" s="571" customFormat="1" ht="22.5" hidden="1" outlineLevel="1">
      <c r="A14" s="556"/>
      <c r="B14" s="572" t="s">
        <v>669</v>
      </c>
      <c r="C14" s="739"/>
      <c r="D14" s="739"/>
      <c r="E14" s="573"/>
      <c r="F14" s="739"/>
      <c r="G14" s="573"/>
      <c r="I14" s="562"/>
    </row>
    <row r="15" spans="1:16" hidden="1">
      <c r="A15" s="555">
        <v>1.65</v>
      </c>
      <c r="B15" s="569" t="s">
        <v>56</v>
      </c>
      <c r="C15" s="732">
        <f>1-E15</f>
        <v>0</v>
      </c>
      <c r="D15" s="732">
        <f>IF(C15&lt;=0,C24,C15)</f>
        <v>1</v>
      </c>
      <c r="E15" s="570">
        <f>E13</f>
        <v>1</v>
      </c>
      <c r="F15" s="732">
        <f>G15</f>
        <v>1</v>
      </c>
      <c r="G15" s="570">
        <f>G13</f>
        <v>1</v>
      </c>
      <c r="I15" s="571"/>
    </row>
    <row r="16" spans="1:16" s="571" customFormat="1" ht="22.5" hidden="1" outlineLevel="1">
      <c r="A16" s="556"/>
      <c r="B16" s="572" t="s">
        <v>675</v>
      </c>
      <c r="C16" s="739"/>
      <c r="D16" s="739"/>
      <c r="E16" s="573"/>
      <c r="F16" s="739"/>
      <c r="G16" s="573"/>
      <c r="I16" s="562"/>
    </row>
    <row r="17" spans="1:9" s="734" customFormat="1" hidden="1">
      <c r="A17" s="730">
        <v>1.65</v>
      </c>
      <c r="B17" s="731" t="s">
        <v>658</v>
      </c>
      <c r="C17" s="732">
        <f>1-E17</f>
        <v>0</v>
      </c>
      <c r="D17" s="732">
        <f>IF(C17&lt;=0,C24,C17)</f>
        <v>1</v>
      </c>
      <c r="E17" s="733">
        <f>E11</f>
        <v>1</v>
      </c>
      <c r="F17" s="732">
        <f>G17</f>
        <v>1</v>
      </c>
      <c r="G17" s="650">
        <f>G11</f>
        <v>1</v>
      </c>
      <c r="I17" s="735"/>
    </row>
    <row r="18" spans="1:9" s="741" customFormat="1" hidden="1">
      <c r="A18" s="742"/>
      <c r="B18" s="567" t="s">
        <v>665</v>
      </c>
      <c r="C18" s="743"/>
      <c r="D18" s="743"/>
      <c r="E18" s="744"/>
      <c r="F18" s="743"/>
      <c r="G18" s="649"/>
      <c r="I18" s="734"/>
    </row>
    <row r="19" spans="1:9" s="734" customFormat="1" hidden="1">
      <c r="A19" s="730">
        <v>1.65</v>
      </c>
      <c r="B19" s="731" t="s">
        <v>750</v>
      </c>
      <c r="C19" s="732">
        <f>1-E19</f>
        <v>0</v>
      </c>
      <c r="D19" s="732">
        <f>IF(C19&lt;=0,C24,C19)</f>
        <v>1</v>
      </c>
      <c r="E19" s="733">
        <f>E11</f>
        <v>1</v>
      </c>
      <c r="F19" s="732">
        <f>G19</f>
        <v>1</v>
      </c>
      <c r="G19" s="650">
        <f>G21</f>
        <v>1</v>
      </c>
    </row>
    <row r="20" spans="1:9" s="734" customFormat="1" hidden="1">
      <c r="A20" s="730">
        <v>1.65</v>
      </c>
      <c r="B20" s="731" t="s">
        <v>666</v>
      </c>
      <c r="C20" s="732">
        <f>1-E20</f>
        <v>0</v>
      </c>
      <c r="D20" s="732">
        <f>IF(C20&lt;=0,C24,C20)</f>
        <v>1</v>
      </c>
      <c r="E20" s="733">
        <f>E19</f>
        <v>1</v>
      </c>
      <c r="F20" s="732">
        <f>G20</f>
        <v>1</v>
      </c>
      <c r="G20" s="650">
        <f>G21</f>
        <v>1</v>
      </c>
    </row>
    <row r="21" spans="1:9" s="734" customFormat="1" hidden="1">
      <c r="A21" s="730">
        <v>1.65</v>
      </c>
      <c r="B21" s="731" t="s">
        <v>667</v>
      </c>
      <c r="C21" s="732">
        <f>1-E21</f>
        <v>0</v>
      </c>
      <c r="D21" s="732">
        <f>IF(C21&lt;=0,C24,C21)</f>
        <v>1</v>
      </c>
      <c r="E21" s="733">
        <f>E13</f>
        <v>1</v>
      </c>
      <c r="F21" s="732">
        <f>G21</f>
        <v>1</v>
      </c>
      <c r="G21" s="650">
        <f>G13</f>
        <v>1</v>
      </c>
      <c r="I21" s="741"/>
    </row>
    <row r="22" spans="1:9" s="566" customFormat="1" hidden="1" collapsed="1">
      <c r="A22" s="554"/>
      <c r="B22" s="567" t="s">
        <v>184</v>
      </c>
      <c r="C22" s="743"/>
      <c r="D22" s="743"/>
      <c r="E22" s="568"/>
      <c r="F22" s="743"/>
      <c r="G22" s="649"/>
      <c r="I22" s="562"/>
    </row>
    <row r="23" spans="1:9" hidden="1">
      <c r="A23" s="555">
        <v>1.37</v>
      </c>
      <c r="B23" s="569" t="s">
        <v>184</v>
      </c>
      <c r="C23" s="747">
        <f>1-E23</f>
        <v>0</v>
      </c>
      <c r="D23" s="747">
        <f>IF(C23&lt;=0,C24,C23)</f>
        <v>1</v>
      </c>
      <c r="E23" s="574">
        <v>1</v>
      </c>
      <c r="F23" s="747">
        <f>G23</f>
        <v>1</v>
      </c>
      <c r="G23" s="574">
        <v>1</v>
      </c>
      <c r="I23" s="575"/>
    </row>
    <row r="24" spans="1:9" s="575" customFormat="1" hidden="1">
      <c r="A24" s="576"/>
      <c r="B24" s="576"/>
      <c r="C24" s="745">
        <v>1</v>
      </c>
      <c r="D24" s="745"/>
      <c r="E24" s="577"/>
      <c r="F24" s="745"/>
      <c r="G24" s="577"/>
      <c r="I24" s="562"/>
    </row>
    <row r="26" spans="1:9" hidden="1">
      <c r="A26" s="563" t="s">
        <v>999</v>
      </c>
    </row>
    <row r="27" spans="1:9" ht="21" hidden="1">
      <c r="A27" s="785" t="s">
        <v>1052</v>
      </c>
      <c r="B27" s="786"/>
      <c r="C27" s="825"/>
    </row>
    <row r="28" spans="1:9" ht="21" hidden="1">
      <c r="A28" s="785" t="s">
        <v>946</v>
      </c>
      <c r="B28" s="786"/>
      <c r="C28" s="825"/>
    </row>
    <row r="29" spans="1:9" ht="21" hidden="1">
      <c r="A29" s="785" t="s">
        <v>529</v>
      </c>
      <c r="B29" s="786"/>
      <c r="C29" s="825"/>
    </row>
    <row r="30" spans="1:9" ht="21" hidden="1">
      <c r="A30" s="785" t="s">
        <v>160</v>
      </c>
      <c r="B30" s="786"/>
      <c r="C30" s="825"/>
    </row>
    <row r="31" spans="1:9" ht="21" hidden="1">
      <c r="A31" s="785" t="s">
        <v>994</v>
      </c>
      <c r="B31" s="786"/>
      <c r="C31" s="825"/>
    </row>
    <row r="32" spans="1:9" ht="21" hidden="1">
      <c r="A32" s="785" t="s">
        <v>995</v>
      </c>
      <c r="B32" s="786"/>
      <c r="C32" s="825"/>
    </row>
  </sheetData>
  <sheetProtection formatColumns="0" insertColumns="0" deleteColumns="0"/>
  <mergeCells count="1">
    <mergeCell ref="B2:G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15">
    <tabColor rgb="FF92D050"/>
  </sheetPr>
  <dimension ref="A1:DG78"/>
  <sheetViews>
    <sheetView view="pageBreakPreview" zoomScale="70" zoomScaleNormal="70" zoomScaleSheetLayoutView="70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M19" sqref="M19"/>
    </sheetView>
  </sheetViews>
  <sheetFormatPr defaultColWidth="9.140625" defaultRowHeight="15"/>
  <cols>
    <col min="1" max="1" width="4.7109375" style="19" customWidth="1"/>
    <col min="2" max="2" width="9.85546875" style="19" customWidth="1"/>
    <col min="3" max="3" width="8.7109375" style="471" customWidth="1"/>
    <col min="4" max="4" width="16.28515625" style="19" customWidth="1"/>
    <col min="5" max="5" width="11.42578125" style="19" customWidth="1"/>
    <col min="6" max="6" width="12.7109375" style="2" customWidth="1"/>
    <col min="7" max="7" width="16.85546875" style="19" customWidth="1"/>
    <col min="8" max="8" width="18.7109375" style="131" customWidth="1"/>
    <col min="9" max="11" width="11.7109375" style="471" customWidth="1"/>
    <col min="12" max="12" width="10" style="19" customWidth="1"/>
    <col min="13" max="13" width="10" style="471" customWidth="1"/>
    <col min="14" max="14" width="10" style="19" customWidth="1"/>
    <col min="15" max="15" width="21.140625" style="19" customWidth="1"/>
    <col min="16" max="16" width="20.7109375" style="19" customWidth="1"/>
    <col min="17" max="16384" width="9.140625" style="19"/>
  </cols>
  <sheetData>
    <row r="1" spans="1:111" s="11" customFormat="1" ht="18" customHeight="1">
      <c r="B1" s="1026" t="s">
        <v>307</v>
      </c>
      <c r="C1" s="1026"/>
      <c r="D1" s="24"/>
      <c r="E1" s="24"/>
      <c r="F1" s="4"/>
      <c r="G1" s="24"/>
      <c r="H1" s="24"/>
      <c r="I1" s="24"/>
      <c r="J1" s="24"/>
      <c r="K1" s="24"/>
      <c r="L1" s="24"/>
      <c r="M1" s="24"/>
      <c r="N1" s="24"/>
      <c r="O1" s="24"/>
      <c r="V1" s="1027"/>
      <c r="W1" s="1027"/>
      <c r="X1" s="1027"/>
      <c r="Y1" s="1027"/>
      <c r="Z1" s="1027"/>
      <c r="AA1" s="1027"/>
      <c r="AB1" s="1027"/>
      <c r="AC1" s="1027"/>
      <c r="AD1" s="1027"/>
      <c r="AE1" s="1027"/>
      <c r="AF1" s="1027"/>
      <c r="AG1" s="1027"/>
      <c r="AH1" s="1027"/>
      <c r="AI1" s="1027"/>
      <c r="AJ1" s="1027"/>
      <c r="AK1" s="1027"/>
      <c r="AL1" s="1027"/>
      <c r="AM1" s="1027"/>
      <c r="AN1" s="1027"/>
      <c r="AO1" s="1027"/>
      <c r="AP1" s="1027"/>
      <c r="AQ1" s="1027"/>
      <c r="AR1" s="1027"/>
      <c r="AS1" s="1027"/>
      <c r="AT1" s="1027"/>
      <c r="AU1" s="1027"/>
      <c r="AV1" s="1027"/>
      <c r="AW1" s="1027"/>
      <c r="AX1" s="1027"/>
      <c r="AY1" s="1027"/>
      <c r="AZ1" s="1027"/>
      <c r="BA1" s="1027"/>
      <c r="BB1" s="1027"/>
      <c r="BC1" s="1027"/>
      <c r="BD1" s="1027"/>
      <c r="BE1" s="1027"/>
      <c r="BF1" s="1027"/>
      <c r="BG1" s="1027"/>
      <c r="BH1" s="1027"/>
      <c r="BI1" s="1027"/>
      <c r="BJ1" s="1027"/>
      <c r="BK1" s="1027"/>
      <c r="BL1" s="1027"/>
      <c r="BM1" s="1027"/>
      <c r="BN1" s="1027"/>
      <c r="BO1" s="1027"/>
      <c r="BP1" s="1027"/>
      <c r="BQ1" s="1027"/>
      <c r="BR1" s="1027"/>
      <c r="BS1" s="1027"/>
      <c r="BT1" s="1027"/>
      <c r="BU1" s="1027"/>
      <c r="BV1" s="1027"/>
      <c r="BW1" s="1027"/>
      <c r="BX1" s="1027"/>
      <c r="BY1" s="1027"/>
      <c r="BZ1" s="1027"/>
      <c r="CA1" s="1027"/>
      <c r="CB1" s="1027"/>
      <c r="CC1" s="1027"/>
      <c r="CD1" s="1027"/>
      <c r="CE1" s="1027"/>
      <c r="CF1" s="1027"/>
      <c r="CG1" s="1027"/>
      <c r="CH1" s="1027"/>
      <c r="CI1" s="1027"/>
      <c r="CJ1" s="1027"/>
      <c r="CK1" s="1027"/>
      <c r="CL1" s="1027"/>
      <c r="CM1" s="1027"/>
      <c r="CN1" s="1027"/>
      <c r="CO1" s="1027"/>
      <c r="CP1" s="1027"/>
      <c r="CQ1" s="1027"/>
      <c r="CR1" s="1027"/>
      <c r="CS1" s="1027"/>
      <c r="CT1" s="1027"/>
      <c r="CU1" s="1027"/>
      <c r="CV1" s="1027"/>
      <c r="CW1" s="1027"/>
      <c r="CX1" s="1027"/>
      <c r="CY1" s="1027"/>
      <c r="CZ1" s="1027"/>
      <c r="DA1" s="1027"/>
      <c r="DB1" s="1027"/>
      <c r="DC1" s="1027"/>
      <c r="DD1" s="1027"/>
      <c r="DE1" s="1027"/>
      <c r="DF1" s="1027"/>
      <c r="DG1" s="1027"/>
    </row>
    <row r="3" spans="1:111" ht="90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N3" s="7"/>
      <c r="O3" s="7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  <c r="AZ3" s="481"/>
      <c r="BA3" s="481"/>
      <c r="BB3" s="481"/>
      <c r="BC3" s="481"/>
      <c r="BD3" s="481"/>
      <c r="BE3" s="481"/>
      <c r="BF3" s="481"/>
      <c r="BG3" s="481"/>
      <c r="BH3" s="481"/>
      <c r="BI3" s="481"/>
      <c r="BJ3" s="481"/>
      <c r="BK3" s="481"/>
      <c r="BL3" s="481"/>
      <c r="BM3" s="481"/>
      <c r="BN3" s="481"/>
      <c r="BO3" s="481"/>
      <c r="BP3" s="481"/>
      <c r="BQ3" s="481"/>
      <c r="BR3" s="481"/>
      <c r="BS3" s="481"/>
      <c r="BT3" s="481"/>
      <c r="BU3" s="481"/>
      <c r="BV3" s="481"/>
      <c r="BW3" s="481"/>
      <c r="BX3" s="481"/>
      <c r="BY3" s="481"/>
      <c r="BZ3" s="481"/>
      <c r="CA3" s="481"/>
      <c r="CB3" s="481"/>
      <c r="CC3" s="481"/>
      <c r="CD3" s="481"/>
      <c r="CE3" s="481"/>
      <c r="CF3" s="481"/>
      <c r="CG3" s="481"/>
      <c r="CH3" s="481"/>
      <c r="CI3" s="481"/>
      <c r="CJ3" s="481"/>
      <c r="CK3" s="481"/>
      <c r="CL3" s="481"/>
      <c r="CM3" s="481"/>
      <c r="CN3" s="481"/>
      <c r="CO3" s="481"/>
      <c r="CP3" s="481"/>
      <c r="CQ3" s="481"/>
      <c r="CR3" s="481"/>
      <c r="CS3" s="481"/>
      <c r="CT3" s="481"/>
      <c r="CU3" s="481"/>
      <c r="CV3" s="481"/>
      <c r="CW3" s="481"/>
      <c r="CX3" s="481"/>
      <c r="CY3" s="481"/>
      <c r="CZ3" s="481"/>
      <c r="DA3" s="481"/>
      <c r="DB3" s="481"/>
      <c r="DC3" s="481"/>
      <c r="DD3" s="481"/>
      <c r="DE3" s="481"/>
      <c r="DF3" s="481"/>
      <c r="DG3" s="481"/>
    </row>
    <row r="4" spans="1:111">
      <c r="A4" s="121"/>
      <c r="B4" s="17" t="s">
        <v>54</v>
      </c>
      <c r="C4" s="17"/>
      <c r="D4" s="121"/>
      <c r="E4" s="121"/>
      <c r="F4" s="6"/>
      <c r="G4" s="121"/>
      <c r="H4" s="132"/>
      <c r="I4" s="1902"/>
      <c r="J4" s="1902"/>
      <c r="K4" s="1902"/>
      <c r="L4" s="121"/>
      <c r="M4" s="1067"/>
      <c r="N4" s="121"/>
      <c r="O4" s="12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  <c r="DF4" s="481"/>
      <c r="DG4" s="481"/>
    </row>
    <row r="5" spans="1:111" ht="30" customHeight="1">
      <c r="A5" s="3029" t="s">
        <v>1</v>
      </c>
      <c r="B5" s="3030"/>
      <c r="C5" s="3030"/>
      <c r="D5" s="1127" t="s">
        <v>39</v>
      </c>
      <c r="E5" s="1127" t="s">
        <v>38</v>
      </c>
      <c r="F5" s="1127" t="s">
        <v>7</v>
      </c>
      <c r="G5" s="1114" t="s">
        <v>697</v>
      </c>
      <c r="H5" s="1111" t="s">
        <v>698</v>
      </c>
      <c r="I5" s="3178" t="s">
        <v>1048</v>
      </c>
      <c r="J5" s="3179"/>
      <c r="K5" s="3180"/>
      <c r="L5" s="3143" t="s">
        <v>699</v>
      </c>
      <c r="M5" s="3143"/>
      <c r="N5" s="3143"/>
      <c r="O5" s="1111" t="s">
        <v>701</v>
      </c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1"/>
      <c r="BO5" s="481"/>
      <c r="BP5" s="481"/>
      <c r="BQ5" s="481"/>
      <c r="BR5" s="481"/>
      <c r="BS5" s="481"/>
      <c r="BT5" s="481"/>
      <c r="BU5" s="481"/>
      <c r="BV5" s="481"/>
      <c r="BW5" s="481"/>
      <c r="BX5" s="481"/>
      <c r="BY5" s="481"/>
      <c r="BZ5" s="481"/>
      <c r="CA5" s="481"/>
      <c r="CB5" s="481"/>
      <c r="CC5" s="481"/>
      <c r="CD5" s="481"/>
      <c r="CE5" s="481"/>
      <c r="CF5" s="481"/>
      <c r="CG5" s="481"/>
      <c r="CH5" s="481"/>
      <c r="CI5" s="481"/>
      <c r="CJ5" s="481"/>
      <c r="CK5" s="481"/>
      <c r="CL5" s="481"/>
      <c r="CM5" s="481"/>
      <c r="CN5" s="481"/>
      <c r="CO5" s="481"/>
      <c r="CP5" s="481"/>
      <c r="CQ5" s="481"/>
      <c r="CR5" s="481"/>
      <c r="CS5" s="481"/>
      <c r="CT5" s="481"/>
      <c r="CU5" s="481"/>
      <c r="CV5" s="481"/>
      <c r="CW5" s="481"/>
      <c r="CX5" s="481"/>
      <c r="CY5" s="481"/>
      <c r="CZ5" s="481"/>
      <c r="DA5" s="481"/>
      <c r="DB5" s="481"/>
      <c r="DC5" s="481"/>
      <c r="DD5" s="481"/>
      <c r="DE5" s="481"/>
      <c r="DF5" s="481"/>
      <c r="DG5" s="481"/>
    </row>
    <row r="6" spans="1:111" s="9" customFormat="1" ht="30" customHeight="1">
      <c r="A6" s="2964" t="s">
        <v>25</v>
      </c>
      <c r="B6" s="2965" t="s">
        <v>1292</v>
      </c>
      <c r="C6" s="2966"/>
      <c r="D6" s="2045" t="s">
        <v>1953</v>
      </c>
      <c r="E6" s="2024" t="s">
        <v>31</v>
      </c>
      <c r="F6" s="162" t="s">
        <v>0</v>
      </c>
      <c r="G6" s="543">
        <f>'Полотна база'!AD10*(1+скидки_наценки!$B$29)*скидки_наценки!$D$13*скидки_наценки!$F$13/скидки_наценки!$B$4</f>
        <v>24650</v>
      </c>
      <c r="H6" s="543">
        <f>'Полотна база'!AD10*(1+скидки_наценки!$B$29)*скидки_наценки!$D$13*скидки_наценки!$F$13/скидки_наценки!$B$4</f>
        <v>24650</v>
      </c>
      <c r="I6" s="3175">
        <f>'Полотна база'!AD10*(1+скидки_наценки!$B$29)*скидки_наценки!$D$13*скидки_наценки!$F$13/скидки_наценки!$B$4</f>
        <v>24650</v>
      </c>
      <c r="J6" s="3176"/>
      <c r="K6" s="3177"/>
      <c r="L6" s="3169">
        <f>'Полотна база'!AD10*(1+скидки_наценки!$B$29)*скидки_наценки!$D$13*скидки_наценки!$F$13/скидки_наценки!$B$4</f>
        <v>24650</v>
      </c>
      <c r="M6" s="3170"/>
      <c r="N6" s="3171"/>
      <c r="O6" s="543">
        <f>'Полотна база'!AE10*(1+скидки_наценки!$B$29)*скидки_наценки!$D$13*скидки_наценки!$F$13/скидки_наценки!$B$4</f>
        <v>30350</v>
      </c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  <c r="AZ6" s="481"/>
      <c r="BA6" s="481"/>
      <c r="BB6" s="481"/>
      <c r="BC6" s="481"/>
      <c r="BD6" s="481"/>
      <c r="BE6" s="481"/>
      <c r="BF6" s="481"/>
      <c r="BG6" s="481"/>
      <c r="BH6" s="481"/>
      <c r="BI6" s="481"/>
      <c r="BJ6" s="481"/>
      <c r="BK6" s="481"/>
      <c r="BL6" s="481"/>
      <c r="BM6" s="481"/>
      <c r="BN6" s="481"/>
      <c r="BO6" s="481"/>
      <c r="BP6" s="481"/>
      <c r="BQ6" s="481"/>
      <c r="BR6" s="481"/>
      <c r="BS6" s="481"/>
      <c r="BT6" s="481"/>
      <c r="BU6" s="481"/>
      <c r="BV6" s="481"/>
      <c r="BW6" s="481"/>
      <c r="BX6" s="481"/>
      <c r="BY6" s="481"/>
      <c r="BZ6" s="481"/>
      <c r="CA6" s="481"/>
      <c r="CB6" s="481"/>
      <c r="CC6" s="481"/>
      <c r="CD6" s="481"/>
      <c r="CE6" s="481"/>
      <c r="CF6" s="481"/>
      <c r="CG6" s="481"/>
      <c r="CH6" s="481"/>
      <c r="CI6" s="481"/>
      <c r="CJ6" s="481"/>
      <c r="CK6" s="481"/>
      <c r="CL6" s="481"/>
      <c r="CM6" s="481"/>
      <c r="CN6" s="481"/>
      <c r="CO6" s="481"/>
      <c r="CP6" s="481"/>
      <c r="CQ6" s="481"/>
      <c r="CR6" s="481"/>
      <c r="CS6" s="481"/>
      <c r="CT6" s="481"/>
      <c r="CU6" s="481"/>
      <c r="CV6" s="481"/>
      <c r="CW6" s="481"/>
      <c r="CX6" s="481"/>
      <c r="CY6" s="481"/>
      <c r="CZ6" s="481"/>
      <c r="DA6" s="481"/>
      <c r="DB6" s="481"/>
      <c r="DC6" s="481"/>
      <c r="DD6" s="481"/>
      <c r="DE6" s="481"/>
      <c r="DF6" s="481"/>
      <c r="DG6" s="481"/>
    </row>
    <row r="7" spans="1:111" s="9" customFormat="1" ht="30" customHeight="1">
      <c r="A7" s="2964"/>
      <c r="B7" s="2967" t="s">
        <v>1288</v>
      </c>
      <c r="C7" s="2968"/>
      <c r="D7" s="2023" t="s">
        <v>1953</v>
      </c>
      <c r="E7" s="2023" t="s">
        <v>31</v>
      </c>
      <c r="F7" s="116" t="s">
        <v>0</v>
      </c>
      <c r="G7" s="787">
        <f>'Полотна база'!AD11*(1+скидки_наценки!$B$29)*скидки_наценки!$D$13*скидки_наценки!$F$13/скидки_наценки!$B$4</f>
        <v>26500</v>
      </c>
      <c r="H7" s="787">
        <f>'Полотна база'!AD11*(1+скидки_наценки!$B$29)*скидки_наценки!$D$13*скидки_наценки!$F$13/скидки_наценки!$B$4</f>
        <v>26500</v>
      </c>
      <c r="I7" s="3181">
        <f>'Полотна база'!AD11*(1+скидки_наценки!$B$29)*скидки_наценки!$D$13*скидки_наценки!$F$13/скидки_наценки!$B$4</f>
        <v>26500</v>
      </c>
      <c r="J7" s="3182"/>
      <c r="K7" s="3183"/>
      <c r="L7" s="3172">
        <f>'Полотна база'!AD11*(1+скидки_наценки!$B$29)*скидки_наценки!$D$13*скидки_наценки!$F$13/скидки_наценки!$B$4</f>
        <v>26500</v>
      </c>
      <c r="M7" s="3173"/>
      <c r="N7" s="3174"/>
      <c r="O7" s="787">
        <f>'Полотна база'!AE11*(1+скидки_наценки!$B$29)*скидки_наценки!$D$13*скидки_наценки!$F$13/скидки_наценки!$B$4</f>
        <v>32200</v>
      </c>
      <c r="P7" s="1745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  <c r="AP7" s="481"/>
      <c r="AQ7" s="481"/>
      <c r="AR7" s="481"/>
      <c r="AS7" s="481"/>
      <c r="AT7" s="481"/>
      <c r="AU7" s="481"/>
      <c r="AV7" s="481"/>
      <c r="AW7" s="481"/>
      <c r="AX7" s="481"/>
      <c r="AY7" s="481"/>
      <c r="AZ7" s="481"/>
      <c r="BA7" s="481"/>
      <c r="BB7" s="481"/>
      <c r="BC7" s="481"/>
      <c r="BD7" s="481"/>
      <c r="BE7" s="481"/>
      <c r="BF7" s="481"/>
      <c r="BG7" s="481"/>
      <c r="BH7" s="481"/>
      <c r="BI7" s="481"/>
      <c r="BJ7" s="481"/>
      <c r="BK7" s="481"/>
      <c r="BL7" s="481"/>
      <c r="BM7" s="481"/>
      <c r="BN7" s="481"/>
      <c r="BO7" s="481"/>
      <c r="BP7" s="481"/>
      <c r="BQ7" s="481"/>
      <c r="BR7" s="481"/>
      <c r="BS7" s="481"/>
      <c r="BT7" s="481"/>
      <c r="BU7" s="481"/>
      <c r="BV7" s="481"/>
      <c r="BW7" s="481"/>
      <c r="BX7" s="481"/>
      <c r="BY7" s="481"/>
      <c r="BZ7" s="481"/>
      <c r="CA7" s="481"/>
      <c r="CB7" s="481"/>
      <c r="CC7" s="481"/>
      <c r="CD7" s="481"/>
      <c r="CE7" s="481"/>
      <c r="CF7" s="481"/>
      <c r="CG7" s="481"/>
      <c r="CH7" s="481"/>
      <c r="CI7" s="481"/>
      <c r="CJ7" s="481"/>
      <c r="CK7" s="481"/>
      <c r="CL7" s="481"/>
      <c r="CM7" s="481"/>
      <c r="CN7" s="481"/>
      <c r="CO7" s="481"/>
      <c r="CP7" s="481"/>
      <c r="CQ7" s="481"/>
      <c r="CR7" s="481"/>
      <c r="CS7" s="481"/>
      <c r="CT7" s="481"/>
      <c r="CU7" s="481"/>
      <c r="CV7" s="481"/>
      <c r="CW7" s="481"/>
      <c r="CX7" s="481"/>
      <c r="CY7" s="481"/>
      <c r="CZ7" s="481"/>
      <c r="DA7" s="481"/>
      <c r="DB7" s="481"/>
      <c r="DC7" s="481"/>
      <c r="DD7" s="481"/>
      <c r="DE7" s="481"/>
      <c r="DF7" s="481"/>
      <c r="DG7" s="481"/>
    </row>
    <row r="8" spans="1:111" s="9" customFormat="1" ht="30" customHeight="1">
      <c r="A8" s="2964"/>
      <c r="B8" s="2965" t="s">
        <v>1294</v>
      </c>
      <c r="C8" s="2966"/>
      <c r="D8" s="2045" t="s">
        <v>1953</v>
      </c>
      <c r="E8" s="2024" t="s">
        <v>31</v>
      </c>
      <c r="F8" s="162" t="s">
        <v>0</v>
      </c>
      <c r="G8" s="543">
        <f>'Полотна база'!AD13*(1+скидки_наценки!$B$29)*скидки_наценки!$D$13*скидки_наценки!$F$13/скидки_наценки!$B$4</f>
        <v>28890</v>
      </c>
      <c r="H8" s="543">
        <f>'Полотна база'!AD13*(1+скидки_наценки!$B$29)*скидки_наценки!$D$13*скидки_наценки!$F$13/скидки_наценки!$B$4</f>
        <v>28890</v>
      </c>
      <c r="I8" s="3175">
        <f>'Полотна база'!AD13*(1+скидки_наценки!$B$29)*скидки_наценки!$D$13*скидки_наценки!$F$13/скидки_наценки!$B$4</f>
        <v>28890</v>
      </c>
      <c r="J8" s="3176"/>
      <c r="K8" s="3177"/>
      <c r="L8" s="3169">
        <f>'Полотна база'!AD13*(1+скидки_наценки!$B$29)*скидки_наценки!$D$13*скидки_наценки!$F$13/скидки_наценки!$B$4</f>
        <v>28890</v>
      </c>
      <c r="M8" s="3170">
        <f>CEILING(M7*1.15, 50)</f>
        <v>0</v>
      </c>
      <c r="N8" s="3171">
        <f>CEILING(N7*1.15, 50)</f>
        <v>0</v>
      </c>
      <c r="O8" s="543">
        <f>'Полотна база'!AE13*(1+скидки_наценки!$B$29)*скидки_наценки!$D$13*скидки_наценки!$F$13/скидки_наценки!$B$4</f>
        <v>34590</v>
      </c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  <c r="AP8" s="481"/>
      <c r="AQ8" s="481"/>
      <c r="AR8" s="481"/>
      <c r="AS8" s="481"/>
      <c r="AT8" s="481"/>
      <c r="AU8" s="481"/>
      <c r="AV8" s="481"/>
      <c r="AW8" s="481"/>
      <c r="AX8" s="481"/>
      <c r="AY8" s="481"/>
      <c r="AZ8" s="481"/>
      <c r="BA8" s="481"/>
      <c r="BB8" s="481"/>
      <c r="BC8" s="481"/>
      <c r="BD8" s="481"/>
      <c r="BE8" s="481"/>
      <c r="BF8" s="481"/>
      <c r="BG8" s="481"/>
      <c r="BH8" s="481"/>
      <c r="BI8" s="481"/>
      <c r="BJ8" s="481"/>
      <c r="BK8" s="481"/>
      <c r="BL8" s="481"/>
      <c r="BM8" s="481"/>
      <c r="BN8" s="481"/>
      <c r="BO8" s="481"/>
      <c r="BP8" s="481"/>
      <c r="BQ8" s="481"/>
      <c r="BR8" s="481"/>
      <c r="BS8" s="481"/>
      <c r="BT8" s="481"/>
      <c r="BU8" s="481"/>
      <c r="BV8" s="481"/>
      <c r="BW8" s="481"/>
      <c r="BX8" s="481"/>
      <c r="BY8" s="481"/>
      <c r="BZ8" s="481"/>
      <c r="CA8" s="481"/>
      <c r="CB8" s="481"/>
      <c r="CC8" s="481"/>
      <c r="CD8" s="481"/>
      <c r="CE8" s="481"/>
      <c r="CF8" s="481"/>
      <c r="CG8" s="481"/>
      <c r="CH8" s="481"/>
      <c r="CI8" s="481"/>
      <c r="CJ8" s="481"/>
      <c r="CK8" s="481"/>
      <c r="CL8" s="481"/>
      <c r="CM8" s="481"/>
      <c r="CN8" s="481"/>
      <c r="CO8" s="481"/>
      <c r="CP8" s="481"/>
      <c r="CQ8" s="481"/>
      <c r="CR8" s="481"/>
      <c r="CS8" s="481"/>
      <c r="CT8" s="481"/>
      <c r="CU8" s="481"/>
      <c r="CV8" s="481"/>
      <c r="CW8" s="481"/>
      <c r="CX8" s="481"/>
      <c r="CY8" s="481"/>
      <c r="CZ8" s="481"/>
      <c r="DA8" s="481"/>
      <c r="DB8" s="481"/>
      <c r="DC8" s="481"/>
      <c r="DD8" s="481"/>
      <c r="DE8" s="481"/>
      <c r="DF8" s="481"/>
      <c r="DG8" s="481"/>
    </row>
    <row r="9" spans="1:111" ht="18.75" customHeight="1">
      <c r="B9" s="376"/>
      <c r="F9" s="19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481"/>
      <c r="AZ9" s="481"/>
      <c r="BA9" s="481"/>
      <c r="BB9" s="481"/>
      <c r="BC9" s="481"/>
      <c r="BD9" s="481"/>
      <c r="BE9" s="481"/>
      <c r="BF9" s="481"/>
      <c r="BG9" s="481"/>
      <c r="BH9" s="481"/>
      <c r="BI9" s="481"/>
      <c r="BJ9" s="481"/>
      <c r="BK9" s="481"/>
      <c r="BL9" s="481"/>
      <c r="BM9" s="481"/>
      <c r="BN9" s="481"/>
      <c r="BO9" s="481"/>
      <c r="BP9" s="481"/>
      <c r="BQ9" s="481"/>
      <c r="BR9" s="481"/>
      <c r="BS9" s="481"/>
      <c r="BT9" s="481"/>
      <c r="BU9" s="481"/>
      <c r="BV9" s="481"/>
      <c r="BW9" s="481"/>
      <c r="BX9" s="481"/>
      <c r="BY9" s="481"/>
      <c r="BZ9" s="481"/>
      <c r="CA9" s="481"/>
      <c r="CB9" s="481"/>
      <c r="CC9" s="481"/>
      <c r="CD9" s="481"/>
      <c r="CE9" s="481"/>
      <c r="CF9" s="481"/>
      <c r="CG9" s="481"/>
      <c r="CH9" s="481"/>
      <c r="CI9" s="481"/>
      <c r="CJ9" s="481"/>
      <c r="CK9" s="481"/>
      <c r="CL9" s="481"/>
      <c r="CM9" s="481"/>
      <c r="CN9" s="481"/>
      <c r="CO9" s="481"/>
      <c r="CP9" s="481"/>
      <c r="CQ9" s="481"/>
      <c r="CR9" s="481"/>
      <c r="CS9" s="481"/>
      <c r="CT9" s="481"/>
      <c r="CU9" s="481"/>
      <c r="CV9" s="481"/>
      <c r="CW9" s="481"/>
      <c r="CX9" s="481"/>
      <c r="CY9" s="481"/>
      <c r="CZ9" s="481"/>
      <c r="DA9" s="481"/>
      <c r="DB9" s="481"/>
      <c r="DC9" s="481"/>
      <c r="DD9" s="481"/>
      <c r="DE9" s="481"/>
      <c r="DF9" s="481"/>
      <c r="DG9" s="481"/>
    </row>
    <row r="10" spans="1:111" ht="99.95" customHeight="1">
      <c r="B10" s="29"/>
      <c r="C10" s="29"/>
    </row>
    <row r="11" spans="1:111">
      <c r="A11" s="21"/>
      <c r="B11" s="17" t="s">
        <v>24</v>
      </c>
      <c r="C11" s="17"/>
      <c r="D11" s="21"/>
      <c r="E11" s="21"/>
      <c r="F11" s="314" t="s">
        <v>255</v>
      </c>
      <c r="G11" s="314" t="s">
        <v>230</v>
      </c>
      <c r="H11" s="132"/>
      <c r="I11" s="1902"/>
      <c r="J11" s="1902"/>
      <c r="K11" s="1902"/>
      <c r="L11" s="21"/>
      <c r="M11" s="1067"/>
      <c r="N11" s="21"/>
      <c r="O11" s="21"/>
    </row>
    <row r="12" spans="1:111" ht="14.45" customHeight="1">
      <c r="A12" s="2881" t="s">
        <v>36</v>
      </c>
      <c r="B12" s="2883"/>
      <c r="C12" s="2881" t="s">
        <v>166</v>
      </c>
      <c r="D12" s="2883"/>
      <c r="E12" s="2988" t="s">
        <v>37</v>
      </c>
      <c r="F12" s="2988" t="s">
        <v>35</v>
      </c>
      <c r="G12" s="1119" t="s">
        <v>700</v>
      </c>
      <c r="H12" s="1119" t="s">
        <v>698</v>
      </c>
      <c r="I12" s="3143" t="s">
        <v>1048</v>
      </c>
      <c r="J12" s="3143"/>
      <c r="K12" s="3143"/>
      <c r="L12" s="3143" t="s">
        <v>699</v>
      </c>
      <c r="M12" s="3143"/>
      <c r="N12" s="3143"/>
      <c r="O12" s="1119" t="s">
        <v>701</v>
      </c>
    </row>
    <row r="13" spans="1:111" s="282" customFormat="1">
      <c r="A13" s="3032"/>
      <c r="B13" s="3033"/>
      <c r="C13" s="3032"/>
      <c r="D13" s="3033"/>
      <c r="E13" s="3034"/>
      <c r="F13" s="3034"/>
      <c r="G13" s="1119" t="s">
        <v>21</v>
      </c>
      <c r="H13" s="1119" t="s">
        <v>21</v>
      </c>
      <c r="I13" s="1900" t="s">
        <v>21</v>
      </c>
      <c r="J13" s="1900" t="s">
        <v>22</v>
      </c>
      <c r="K13" s="1900" t="s">
        <v>1066</v>
      </c>
      <c r="L13" s="1119" t="s">
        <v>21</v>
      </c>
      <c r="M13" s="1119" t="s">
        <v>22</v>
      </c>
      <c r="N13" s="1119" t="s">
        <v>1066</v>
      </c>
      <c r="O13" s="1119" t="s">
        <v>21</v>
      </c>
    </row>
    <row r="14" spans="1:111" s="18" customFormat="1" ht="15" customHeight="1">
      <c r="A14" s="2946"/>
      <c r="B14" s="2948"/>
      <c r="C14" s="2946"/>
      <c r="D14" s="2948"/>
      <c r="E14" s="2989"/>
      <c r="F14" s="2989"/>
      <c r="G14" s="1129" t="s">
        <v>1405</v>
      </c>
      <c r="H14" s="1129" t="s">
        <v>176</v>
      </c>
      <c r="I14" s="1129" t="s">
        <v>176</v>
      </c>
      <c r="J14" s="1129" t="s">
        <v>176</v>
      </c>
      <c r="K14" s="1129" t="s">
        <v>176</v>
      </c>
      <c r="L14" s="1129" t="s">
        <v>176</v>
      </c>
      <c r="M14" s="1129" t="s">
        <v>176</v>
      </c>
      <c r="N14" s="1129" t="s">
        <v>176</v>
      </c>
      <c r="O14" s="1129" t="s">
        <v>176</v>
      </c>
    </row>
    <row r="15" spans="1:111" s="21" customFormat="1" ht="25.15" customHeight="1">
      <c r="A15" s="3036" t="s">
        <v>30</v>
      </c>
      <c r="B15" s="3037"/>
      <c r="C15" s="3146" t="s">
        <v>29</v>
      </c>
      <c r="D15" s="3147"/>
      <c r="E15" s="116" t="s">
        <v>170</v>
      </c>
      <c r="F15" s="42" t="s">
        <v>3</v>
      </c>
      <c r="G15" s="310">
        <f>(Стекла_база!C79+Стекла_база!I79)*(1+скидки_наценки!$B$32)*скидки_наценки!$D$13*скидки_наценки!$F$13/скидки_наценки!$B$4</f>
        <v>2330</v>
      </c>
      <c r="H15" s="310">
        <f>Стекла_база!C80*(1+скидки_наценки!$B$32)*скидки_наценки!$D$13*скидки_наценки!$F$13/скидки_наценки!$B$4</f>
        <v>1050</v>
      </c>
      <c r="I15" s="310">
        <f>Стекла_база!C81*(1+скидки_наценки!$B$32)*скидки_наценки!$D$13*скидки_наценки!$F$13/скидки_наценки!$B$4</f>
        <v>1100</v>
      </c>
      <c r="J15" s="310">
        <f>Стекла_база!C83*(1+скидки_наценки!$B$32)*скидки_наценки!$D$13*скидки_наценки!$F$13/скидки_наценки!$B$4</f>
        <v>330</v>
      </c>
      <c r="K15" s="310">
        <f>Стекла_база!C82*(1+скидки_наценки!$B$32)*скидки_наценки!$D$13*скидки_наценки!$F$13/скидки_наценки!$B$4</f>
        <v>770</v>
      </c>
      <c r="L15" s="310">
        <f>Стекла_база!C81*(1+скидки_наценки!$B$32)*скидки_наценки!$D$13*скидки_наценки!$F$13/скидки_наценки!$B$4</f>
        <v>1100</v>
      </c>
      <c r="M15" s="310">
        <f>Стекла_база!C82*(1+скидки_наценки!$B$32)*скидки_наценки!$D$13*скидки_наценки!$F$13/скидки_наценки!$B$4</f>
        <v>770</v>
      </c>
      <c r="N15" s="310">
        <f>Стекла_база!C83*(1+скидки_наценки!$B$32)*скидки_наценки!$D$13*скидки_наценки!$F$13/скидки_наценки!$B$4</f>
        <v>330</v>
      </c>
      <c r="O15" s="310">
        <f>M15</f>
        <v>770</v>
      </c>
      <c r="P15" s="321"/>
    </row>
    <row r="16" spans="1:111" s="118" customFormat="1" ht="25.15" customHeight="1">
      <c r="A16" s="3038"/>
      <c r="B16" s="3039"/>
      <c r="C16" s="3148" t="s">
        <v>1180</v>
      </c>
      <c r="D16" s="3149"/>
      <c r="E16" s="170" t="s">
        <v>171</v>
      </c>
      <c r="F16" s="167" t="s">
        <v>3</v>
      </c>
      <c r="G16" s="312">
        <f>(Стекла_база!D79+Стекла_база!I79)*(1+скидки_наценки!$B$32)*скидки_наценки!$D$13*скидки_наценки!$F$13/скидки_наценки!$B$4</f>
        <v>2810</v>
      </c>
      <c r="H16" s="1290">
        <f>Стекла_база!D80*(1+скидки_наценки!$B$32)*скидки_наценки!$D$13*скидки_наценки!$F$13/скидки_наценки!$B$4</f>
        <v>1365</v>
      </c>
      <c r="I16" s="1901">
        <f>Стекла_база!D81*(1+скидки_наценки!$B$32)*скидки_наценки!$D$13*скидки_наценки!$F$13/скидки_наценки!$B$4</f>
        <v>1430</v>
      </c>
      <c r="J16" s="1901">
        <f>Стекла_база!D83*(1+скидки_наценки!$B$32)*скидки_наценки!$D$13*скидки_наценки!$F$13/скидки_наценки!$B$4</f>
        <v>430</v>
      </c>
      <c r="K16" s="1901">
        <f>Стекла_база!D82*(1+скидки_наценки!$B$32)*скидки_наценки!$D$13*скидки_наценки!$F$13/скидки_наценки!$B$4</f>
        <v>1010</v>
      </c>
      <c r="L16" s="1290">
        <f>Стекла_база!D81*(1+скидки_наценки!$B$32)*скидки_наценки!$D$13*скидки_наценки!$F$13/скидки_наценки!$B$4</f>
        <v>1430</v>
      </c>
      <c r="M16" s="1290">
        <f>Стекла_база!D82*(1+скидки_наценки!$B$32)*скидки_наценки!$D$13*скидки_наценки!$F$13/скидки_наценки!$B$4</f>
        <v>1010</v>
      </c>
      <c r="N16" s="1290">
        <f>Стекла_база!D83*(1+скидки_наценки!$B$32)*скидки_наценки!$D$13*скидки_наценки!$F$13/скидки_наценки!$B$4</f>
        <v>430</v>
      </c>
      <c r="O16" s="1290">
        <f>M16</f>
        <v>1010</v>
      </c>
      <c r="P16" s="321"/>
    </row>
    <row r="17" spans="1:19" s="21" customFormat="1" ht="25.15" customHeight="1">
      <c r="A17" s="3040"/>
      <c r="B17" s="3041"/>
      <c r="C17" s="3150" t="s">
        <v>1181</v>
      </c>
      <c r="D17" s="3151"/>
      <c r="E17" s="682" t="s">
        <v>171</v>
      </c>
      <c r="F17" s="677" t="s">
        <v>3</v>
      </c>
      <c r="G17" s="277">
        <f>(Стекла_база!E79+Стекла_база!I79)*(1+скидки_наценки!$B$32)*скидки_наценки!$D$13*скидки_наценки!$F$13/скидки_наценки!$B$4</f>
        <v>3370</v>
      </c>
      <c r="H17" s="277">
        <f>Стекла_база!E80*(1+скидки_наценки!$B$32)*скидки_наценки!$D$13*скидки_наценки!$F$13/скидки_наценки!$B$4</f>
        <v>1735</v>
      </c>
      <c r="I17" s="277">
        <f>Стекла_база!E81*(1+скидки_наценки!$B$32)*скидки_наценки!$D$13*скидки_наценки!$F$13/скидки_наценки!$B$4</f>
        <v>1815</v>
      </c>
      <c r="J17" s="277">
        <f>Стекла_база!E83*(1+скидки_наценки!$B$32)*скидки_наценки!$D$13*скидки_наценки!$F$13/скидки_наценки!$B$4</f>
        <v>550</v>
      </c>
      <c r="K17" s="277">
        <f>Стекла_база!E82*(1+скидки_наценки!$B$32)*скидки_наценки!$D$13*скидки_наценки!$F$13/скидки_наценки!$B$4</f>
        <v>1280</v>
      </c>
      <c r="L17" s="277">
        <f>Стекла_база!E81*(1+скидки_наценки!$B$32)*скидки_наценки!$D$13*скидки_наценки!$F$13/скидки_наценки!$B$4</f>
        <v>1815</v>
      </c>
      <c r="M17" s="277">
        <f>Стекла_база!E82*(1+скидки_наценки!$B$32)*скидки_наценки!$D$13*скидки_наценки!$F$13/скидки_наценки!$B$4</f>
        <v>1280</v>
      </c>
      <c r="N17" s="277">
        <f>Стекла_база!E83*(1+скидки_наценки!$B$32)*скидки_наценки!$D$13*скидки_наценки!$F$13/скидки_наценки!$B$4</f>
        <v>550</v>
      </c>
      <c r="O17" s="277">
        <f>M17</f>
        <v>1280</v>
      </c>
      <c r="P17" s="321"/>
    </row>
    <row r="18" spans="1:19" s="118" customFormat="1" ht="39" customHeight="1">
      <c r="A18" s="3156" t="s">
        <v>1179</v>
      </c>
      <c r="B18" s="3157"/>
      <c r="C18" s="3128" t="s">
        <v>1060</v>
      </c>
      <c r="D18" s="3129"/>
      <c r="E18" s="162" t="s">
        <v>171</v>
      </c>
      <c r="F18" s="125" t="s">
        <v>3</v>
      </c>
      <c r="G18" s="311">
        <f>(Стекла_база!F79+Стекла_база!I79)*(1+скидки_наценки!$B$32)*скидки_наценки!$D$13*скидки_наценки!$F$13/скидки_наценки!$B$4</f>
        <v>3020</v>
      </c>
      <c r="H18" s="311">
        <f>Стекла_база!F80*(1+скидки_наценки!$B$32)*скидки_наценки!$D$13*скидки_наценки!$F$13/скидки_наценки!$B$4</f>
        <v>1505</v>
      </c>
      <c r="I18" s="311">
        <f>Стекла_база!F81*(1+скидки_наценки!$B$32)*скидки_наценки!$D$13*скидки_наценки!$F$13/скидки_наценки!$B$4</f>
        <v>1575</v>
      </c>
      <c r="J18" s="311">
        <f>Стекла_база!F83*(1+скидки_наценки!$B$32)*скидки_наценки!$D$13*скидки_наценки!$F$13/скидки_наценки!$B$4</f>
        <v>480</v>
      </c>
      <c r="K18" s="311">
        <f>Стекла_база!F82*(1+скидки_наценки!$B$32)*скидки_наценки!$D$13*скидки_наценки!$F$13/скидки_наценки!$B$4</f>
        <v>1120</v>
      </c>
      <c r="L18" s="311">
        <f>Стекла_база!F81*(1+скидки_наценки!$B$32)*скидки_наценки!$D$13*скидки_наценки!$F$13/скидки_наценки!$B$4</f>
        <v>1575</v>
      </c>
      <c r="M18" s="2169">
        <f>Стекла_база!F82*(1+скидки_наценки!$B$32)*скидки_наценки!$D$13*скидки_наценки!$F$13/скидки_наценки!$B$4</f>
        <v>1120</v>
      </c>
      <c r="N18" s="311">
        <f>Стекла_база!F83*(1+скидки_наценки!$B$32)*скидки_наценки!$D$13*скидки_наценки!$F$13/скидки_наценки!$B$4</f>
        <v>480</v>
      </c>
      <c r="O18" s="311">
        <f>M18</f>
        <v>1120</v>
      </c>
      <c r="P18" s="321"/>
    </row>
    <row r="19" spans="1:19" s="20" customFormat="1" ht="25.15" customHeight="1">
      <c r="A19" s="3049" t="s">
        <v>169</v>
      </c>
      <c r="B19" s="3050"/>
      <c r="C19" s="3132" t="s">
        <v>168</v>
      </c>
      <c r="D19" s="3133"/>
      <c r="E19" s="682" t="s">
        <v>171</v>
      </c>
      <c r="F19" s="349" t="s">
        <v>886</v>
      </c>
      <c r="G19" s="310">
        <f>(Стекла_база!G79+Стекла_база!I79)*(1+скидки_наценки!$B$32)*скидки_наценки!$D$13*скидки_наценки!$F$13/скидки_наценки!$B$4</f>
        <v>3440</v>
      </c>
      <c r="H19" s="310">
        <f>Стекла_база!G80*(1+скидки_наценки!$B$32)*скидки_наценки!$D$13*скидки_наценки!$F$13/скидки_наценки!$B$4</f>
        <v>1775</v>
      </c>
      <c r="I19" s="310">
        <f>Стекла_база!G81*(1+скидки_наценки!$B$32)*скидки_наценки!$D$13*скидки_наценки!$F$13/скидки_наценки!$B$4</f>
        <v>1860</v>
      </c>
      <c r="J19" s="310">
        <f>Стекла_база!G83*(1+скидки_наценки!$B$32)*скидки_наценки!$D$13*скидки_наценки!$F$13/скидки_наценки!$B$4</f>
        <v>560</v>
      </c>
      <c r="K19" s="310">
        <f>Стекла_база!G82*(1+скидки_наценки!$B$32)*скидки_наценки!$D$13*скидки_наценки!$F$13/скидки_наценки!$B$4</f>
        <v>1320</v>
      </c>
      <c r="L19" s="310">
        <f>Стекла_база!G81*(1+скидки_наценки!$B$32)*скидки_наценки!$D$13*скидки_наценки!$F$13/скидки_наценки!$B$4</f>
        <v>1860</v>
      </c>
      <c r="M19" s="310">
        <f>Стекла_база!G82*(1+скидки_наценки!$B$32)*скидки_наценки!$D$13*скидки_наценки!$F$13/скидки_наценки!$B$4</f>
        <v>1320</v>
      </c>
      <c r="N19" s="310">
        <f>Стекла_база!G83*(1+скидки_наценки!$B$32)*скидки_наценки!$D$13*скидки_наценки!$F$13/скидки_наценки!$B$4</f>
        <v>560</v>
      </c>
      <c r="O19" s="310">
        <f>M19</f>
        <v>1320</v>
      </c>
      <c r="P19" s="321"/>
    </row>
    <row r="20" spans="1:19" s="60" customFormat="1" ht="15" customHeight="1">
      <c r="A20" s="3167" t="s">
        <v>172</v>
      </c>
      <c r="B20" s="3168"/>
      <c r="C20" s="1088"/>
      <c r="D20" s="1088"/>
      <c r="E20" s="1088"/>
      <c r="F20" s="1088"/>
      <c r="G20" s="1088"/>
      <c r="H20" s="1088"/>
      <c r="I20" s="1906"/>
      <c r="J20" s="1906"/>
      <c r="K20" s="1906"/>
      <c r="L20" s="1212"/>
      <c r="M20" s="1212"/>
      <c r="N20" s="1212"/>
      <c r="O20" s="1088"/>
      <c r="P20" s="322"/>
    </row>
    <row r="21" spans="1:19" s="20" customFormat="1" ht="18" customHeight="1">
      <c r="A21" s="3053" t="s">
        <v>178</v>
      </c>
      <c r="B21" s="3053"/>
      <c r="C21" s="3053" t="s">
        <v>304</v>
      </c>
      <c r="D21" s="3053"/>
      <c r="E21" s="3053"/>
      <c r="F21" s="3053"/>
      <c r="G21" s="279">
        <f>Стекла_база!N79*(1+скидки_наценки!$B$32)*скидки_наценки!$D$13*скидки_наценки!$F$13/скидки_наценки!$B$4</f>
        <v>750</v>
      </c>
      <c r="H21" s="279">
        <f>Стекла_база!N79*(1+скидки_наценки!$B$32)*скидки_наценки!$D$13*скидки_наценки!$F$13/скидки_наценки!$B$4</f>
        <v>750</v>
      </c>
      <c r="I21" s="1907">
        <f>Стекла_база!N81*(1+скидки_наценки!$B$32)*скидки_наценки!$D$13*скидки_наценки!$F$13/скидки_наценки!$B$4</f>
        <v>550</v>
      </c>
      <c r="J21" s="1907">
        <f>Стекла_база!N83*(1+скидки_наценки!$B$32)*скидки_наценки!$D$13*скидки_наценки!$F$13/скидки_наценки!$B$4</f>
        <v>200</v>
      </c>
      <c r="K21" s="1907">
        <f>Стекла_база!N82*(1+скидки_наценки!$B$32)*скидки_наценки!$D$13*скидки_наценки!$F$13/скидки_наценки!$B$4</f>
        <v>400</v>
      </c>
      <c r="L21" s="279">
        <f>Стекла_база!N81*(1+скидки_наценки!$B$32)*скидки_наценки!$D$13*скидки_наценки!$F$13/скидки_наценки!$B$4</f>
        <v>550</v>
      </c>
      <c r="M21" s="279">
        <f>Стекла_база!N82*(1+скидки_наценки!$B$32)*скидки_наценки!$D$13*скидки_наценки!$F$13/скидки_наценки!$B$4</f>
        <v>400</v>
      </c>
      <c r="N21" s="279">
        <f>Стекла_база!N83*(1+скидки_наценки!$B$32)*скидки_наценки!$D$13*скидки_наценки!$F$13/скидки_наценки!$B$4</f>
        <v>200</v>
      </c>
      <c r="O21" s="279">
        <f>N21</f>
        <v>200</v>
      </c>
      <c r="P21" s="322"/>
    </row>
    <row r="22" spans="1:19" s="20" customFormat="1" ht="48" customHeight="1">
      <c r="A22" s="3054" t="s">
        <v>234</v>
      </c>
      <c r="B22" s="3055"/>
      <c r="C22" s="3056" t="s">
        <v>305</v>
      </c>
      <c r="D22" s="3056"/>
      <c r="E22" s="3056"/>
      <c r="F22" s="3056"/>
      <c r="G22" s="1353" t="s">
        <v>1192</v>
      </c>
      <c r="H22" s="1349">
        <f>Стекла_база!I79*(1+скидки_наценки!$B$32)*скидки_наценки!$D$13*скидки_наценки!$F$13/скидки_наценки!$B$4</f>
        <v>730</v>
      </c>
      <c r="I22" s="1090">
        <f>Стекла_база!I81*(1+скидки_наценки!$B$32)*скидки_наценки!$D$13*скидки_наценки!$F$13/скидки_наценки!$B$4</f>
        <v>520</v>
      </c>
      <c r="J22" s="1090">
        <f>Стекла_база!N83*(1+скидки_наценки!$B$32)*скидки_наценки!$D$13*скидки_наценки!$F$13/скидки_наценки!$B$4</f>
        <v>200</v>
      </c>
      <c r="K22" s="1090">
        <f>Стекла_база!N82*(1+скидки_наценки!$B$32)*скидки_наценки!$D$13*скидки_наценки!$F$13/скидки_наценки!$B$4</f>
        <v>400</v>
      </c>
      <c r="L22" s="1349">
        <f>Стекла_база!I81*(1+скидки_наценки!$B$32)*скидки_наценки!$D$13*скидки_наценки!$F$13/скидки_наценки!$B$4</f>
        <v>520</v>
      </c>
      <c r="M22" s="1349">
        <f>Стекла_база!I82*(1+скидки_наценки!$B$32)*скидки_наценки!$D$13*скидки_наценки!$F$13/скидки_наценки!$B$4</f>
        <v>370</v>
      </c>
      <c r="N22" s="1349">
        <f>Стекла_база!I83*(1+скидки_наценки!$B$32)*скидки_наценки!$D$13*скидки_наценки!$F$13/скидки_наценки!$B$4</f>
        <v>160</v>
      </c>
      <c r="O22" s="1349">
        <f>N22</f>
        <v>160</v>
      </c>
      <c r="P22" s="368"/>
      <c r="Q22" s="369"/>
      <c r="R22" s="369"/>
      <c r="S22" s="369"/>
    </row>
    <row r="23" spans="1:19" s="20" customFormat="1" ht="15.75">
      <c r="A23" s="1091"/>
      <c r="B23" s="1091"/>
      <c r="C23" s="1091"/>
      <c r="D23" s="1091"/>
      <c r="E23" s="1091"/>
      <c r="F23" s="1091"/>
      <c r="G23" s="1089"/>
      <c r="H23" s="1089"/>
      <c r="I23" s="1089"/>
      <c r="J23" s="1089"/>
      <c r="K23" s="1089"/>
      <c r="L23" s="1089"/>
      <c r="M23" s="1089"/>
      <c r="N23" s="1089"/>
      <c r="O23" s="1089"/>
      <c r="P23" s="369"/>
      <c r="Q23" s="369"/>
      <c r="R23" s="369"/>
      <c r="S23" s="369"/>
    </row>
    <row r="24" spans="1:19" s="131" customFormat="1">
      <c r="A24" s="132"/>
      <c r="B24" s="17" t="s">
        <v>19</v>
      </c>
      <c r="C24" s="17"/>
      <c r="D24" s="132"/>
      <c r="E24" s="132"/>
      <c r="F24" s="132"/>
      <c r="G24" s="6"/>
      <c r="H24" s="132"/>
      <c r="I24" s="1902"/>
      <c r="J24" s="1902"/>
      <c r="K24" s="1902"/>
      <c r="L24" s="132"/>
      <c r="M24" s="1067"/>
      <c r="N24" s="132"/>
      <c r="O24" s="132"/>
    </row>
    <row r="25" spans="1:19" s="117" customFormat="1" ht="14.45" customHeight="1">
      <c r="A25" s="3134" t="s">
        <v>2</v>
      </c>
      <c r="B25" s="3135"/>
      <c r="C25" s="3135"/>
      <c r="D25" s="3135"/>
      <c r="E25" s="3135"/>
      <c r="F25" s="3136"/>
      <c r="G25" s="1071" t="s">
        <v>700</v>
      </c>
      <c r="H25" s="280" t="s">
        <v>698</v>
      </c>
      <c r="I25" s="3143" t="s">
        <v>1048</v>
      </c>
      <c r="J25" s="3143"/>
      <c r="K25" s="3143"/>
      <c r="L25" s="3158" t="s">
        <v>699</v>
      </c>
      <c r="M25" s="3159"/>
      <c r="N25" s="3160"/>
      <c r="O25" s="1077" t="str">
        <f>O5</f>
        <v>Florence4</v>
      </c>
    </row>
    <row r="26" spans="1:19" s="118" customFormat="1" ht="15" customHeight="1">
      <c r="A26" s="3002" t="s">
        <v>874</v>
      </c>
      <c r="B26" s="3025"/>
      <c r="C26" s="3003"/>
      <c r="D26" s="3088" t="s">
        <v>868</v>
      </c>
      <c r="E26" s="3089"/>
      <c r="F26" s="3090"/>
      <c r="G26" s="1181">
        <f>Стекла_база!H15*(1+скидки_наценки!$B$32)*скидки_наценки!$D$13*скидки_наценки!$F$13/скидки_наценки!$B$4</f>
        <v>10000</v>
      </c>
      <c r="H26" s="1181">
        <f>Стекла_база!H16*(1+скидки_наценки!$B$32)*скидки_наценки!$D$13*скидки_наценки!$F$13/скидки_наценки!$B$4</f>
        <v>6750</v>
      </c>
      <c r="I26" s="1908" t="s">
        <v>3</v>
      </c>
      <c r="J26" s="1908" t="s">
        <v>3</v>
      </c>
      <c r="K26" s="1908" t="s">
        <v>3</v>
      </c>
      <c r="L26" s="3161" t="s">
        <v>3</v>
      </c>
      <c r="M26" s="3162"/>
      <c r="N26" s="3163"/>
      <c r="O26" s="710" t="s">
        <v>3</v>
      </c>
    </row>
    <row r="27" spans="1:19" s="60" customFormat="1" ht="15" customHeight="1">
      <c r="A27" s="3004"/>
      <c r="B27" s="3077"/>
      <c r="C27" s="3005"/>
      <c r="D27" s="3091" t="s">
        <v>1389</v>
      </c>
      <c r="E27" s="3092"/>
      <c r="F27" s="3093"/>
      <c r="G27" s="2168">
        <f>Стекла_база!I15*(1+скидки_наценки!$B$32)*скидки_наценки!$D$13*скидки_наценки!$F$13/скидки_наценки!$B$4</f>
        <v>13000</v>
      </c>
      <c r="H27" s="1140">
        <f>Стекла_база!I16*скидки_наценки!$D$13*скидки_наценки!$F$13/скидки_наценки!$B$4</f>
        <v>8800</v>
      </c>
      <c r="I27" s="1909" t="s">
        <v>3</v>
      </c>
      <c r="J27" s="1909" t="s">
        <v>3</v>
      </c>
      <c r="K27" s="1909" t="s">
        <v>3</v>
      </c>
      <c r="L27" s="3164" t="s">
        <v>3</v>
      </c>
      <c r="M27" s="3165"/>
      <c r="N27" s="3166"/>
      <c r="O27" s="711" t="s">
        <v>3</v>
      </c>
    </row>
    <row r="28" spans="1:19" s="131" customFormat="1" ht="18" customHeight="1">
      <c r="A28" s="26"/>
      <c r="B28" s="37"/>
      <c r="C28" s="37"/>
      <c r="I28" s="471"/>
      <c r="J28" s="471"/>
      <c r="K28" s="471"/>
      <c r="M28" s="471"/>
      <c r="N28" s="43"/>
    </row>
    <row r="29" spans="1:19" s="471" customFormat="1" ht="18" customHeight="1">
      <c r="A29" s="26"/>
      <c r="B29" s="37"/>
      <c r="C29" s="37"/>
      <c r="N29" s="43"/>
    </row>
    <row r="30" spans="1:19" s="471" customFormat="1" ht="18" customHeight="1">
      <c r="A30" s="26"/>
      <c r="B30" s="37"/>
      <c r="C30" s="37"/>
      <c r="N30" s="43"/>
    </row>
    <row r="31" spans="1:19" s="471" customFormat="1" ht="18" customHeight="1">
      <c r="A31" s="26"/>
      <c r="B31" s="37"/>
      <c r="C31" s="37"/>
      <c r="N31" s="43"/>
    </row>
    <row r="32" spans="1:19" ht="15" customHeight="1">
      <c r="A32" s="21"/>
      <c r="B32" s="17"/>
      <c r="C32" s="17"/>
      <c r="D32" s="21"/>
      <c r="E32" s="21"/>
      <c r="F32" s="6"/>
      <c r="G32" s="21"/>
      <c r="H32" s="132"/>
      <c r="I32" s="1902"/>
      <c r="J32" s="1902"/>
      <c r="K32" s="1902"/>
      <c r="L32" s="21"/>
      <c r="M32" s="1067"/>
      <c r="N32" s="21"/>
      <c r="O32" s="21"/>
    </row>
    <row r="33" spans="1:15" ht="18" customHeight="1">
      <c r="A33" s="21"/>
      <c r="B33" s="20"/>
      <c r="C33" s="20"/>
      <c r="D33" s="21"/>
      <c r="E33" s="21"/>
      <c r="F33" s="6"/>
      <c r="G33" s="21"/>
      <c r="H33" s="132"/>
      <c r="I33" s="1902"/>
      <c r="J33" s="1902"/>
      <c r="K33" s="1902"/>
      <c r="L33" s="21"/>
      <c r="M33" s="1067"/>
      <c r="N33" s="21"/>
      <c r="O33" s="21"/>
    </row>
    <row r="34" spans="1:15" ht="18" customHeight="1">
      <c r="A34" s="21"/>
      <c r="H34" s="132"/>
      <c r="I34" s="1902"/>
      <c r="J34" s="1902"/>
      <c r="K34" s="1902"/>
      <c r="N34" s="21"/>
      <c r="O34" s="21"/>
    </row>
    <row r="35" spans="1:15" ht="18" customHeight="1">
      <c r="A35" s="21"/>
      <c r="H35" s="132"/>
      <c r="I35" s="1902"/>
      <c r="J35" s="1902"/>
      <c r="K35" s="1902"/>
      <c r="N35" s="21"/>
      <c r="O35" s="21"/>
    </row>
    <row r="36" spans="1:15" ht="18" customHeight="1">
      <c r="A36" s="21"/>
      <c r="B36" s="44"/>
      <c r="C36" s="44"/>
      <c r="D36" s="44"/>
      <c r="E36" s="44"/>
      <c r="F36" s="6"/>
      <c r="G36" s="21"/>
      <c r="H36" s="44"/>
      <c r="I36" s="44"/>
      <c r="J36" s="44"/>
      <c r="K36" s="44"/>
      <c r="L36" s="21"/>
      <c r="M36" s="1067"/>
      <c r="N36" s="21"/>
    </row>
    <row r="37" spans="1:15" ht="18" customHeight="1">
      <c r="A37" s="21"/>
      <c r="B37" s="20"/>
      <c r="C37" s="20"/>
      <c r="D37" s="21"/>
      <c r="E37" s="21"/>
      <c r="F37" s="6"/>
      <c r="G37" s="21"/>
      <c r="H37" s="44"/>
      <c r="I37" s="44"/>
      <c r="J37" s="44"/>
      <c r="K37" s="44"/>
      <c r="L37" s="21"/>
      <c r="M37" s="1067"/>
      <c r="N37" s="21"/>
      <c r="O37" s="44"/>
    </row>
    <row r="38" spans="1:15" ht="18" customHeight="1">
      <c r="A38" s="21"/>
      <c r="B38" s="20"/>
      <c r="C38" s="20"/>
      <c r="D38" s="21"/>
      <c r="E38" s="21"/>
      <c r="F38" s="6"/>
      <c r="G38" s="21"/>
      <c r="H38" s="44"/>
      <c r="I38" s="44"/>
      <c r="J38" s="44"/>
      <c r="K38" s="44"/>
      <c r="L38" s="21"/>
      <c r="M38" s="1067"/>
      <c r="N38" s="21"/>
      <c r="O38" s="44"/>
    </row>
    <row r="39" spans="1:15" ht="18" customHeight="1">
      <c r="A39" s="21"/>
      <c r="B39" s="20"/>
      <c r="C39" s="20"/>
      <c r="D39" s="21"/>
      <c r="E39" s="21"/>
      <c r="F39" s="6"/>
      <c r="G39" s="21"/>
      <c r="H39" s="132"/>
      <c r="I39" s="1902"/>
      <c r="J39" s="1902"/>
      <c r="K39" s="1902"/>
      <c r="L39" s="21"/>
      <c r="M39" s="1067"/>
      <c r="N39" s="21"/>
      <c r="O39" s="21"/>
    </row>
    <row r="40" spans="1:15" ht="18" customHeight="1">
      <c r="A40" s="26"/>
      <c r="B40" s="26"/>
      <c r="C40" s="26"/>
      <c r="D40" s="26"/>
      <c r="E40" s="26"/>
      <c r="F40" s="26"/>
      <c r="G40" s="27"/>
      <c r="H40" s="27"/>
      <c r="I40" s="27"/>
      <c r="J40" s="27"/>
      <c r="K40" s="27"/>
      <c r="L40" s="27"/>
      <c r="M40" s="27"/>
      <c r="N40" s="27"/>
      <c r="O40" s="27"/>
    </row>
    <row r="41" spans="1:15" ht="18" customHeight="1">
      <c r="A41" s="26"/>
      <c r="B41" s="39"/>
      <c r="C41" s="39"/>
      <c r="D41" s="39"/>
      <c r="E41" s="39"/>
      <c r="F41" s="39"/>
      <c r="G41" s="39"/>
      <c r="H41" s="27"/>
      <c r="I41" s="27"/>
      <c r="J41" s="27"/>
      <c r="K41" s="27"/>
      <c r="L41" s="27"/>
      <c r="M41" s="27"/>
      <c r="N41" s="27"/>
      <c r="O41" s="27"/>
    </row>
    <row r="42" spans="1:15" ht="18" customHeight="1">
      <c r="A42" s="26"/>
      <c r="B42" s="39"/>
      <c r="C42" s="39"/>
      <c r="D42" s="39"/>
      <c r="E42" s="39"/>
      <c r="F42" s="39"/>
      <c r="G42" s="39"/>
      <c r="H42" s="27"/>
      <c r="I42" s="27"/>
      <c r="J42" s="27"/>
      <c r="K42" s="27"/>
      <c r="L42" s="27"/>
      <c r="M42" s="27"/>
      <c r="N42" s="27"/>
      <c r="O42" s="27"/>
    </row>
    <row r="43" spans="1:15" ht="18" customHeight="1">
      <c r="B43" s="29"/>
      <c r="C43" s="29"/>
      <c r="F43" s="19"/>
    </row>
    <row r="44" spans="1:15" ht="18" customHeight="1">
      <c r="B44" s="29"/>
      <c r="C44" s="29"/>
      <c r="F44" s="19"/>
    </row>
    <row r="45" spans="1:15" ht="18" customHeight="1">
      <c r="B45" s="14"/>
      <c r="C45" s="14"/>
      <c r="F45" s="19"/>
    </row>
    <row r="46" spans="1:15" ht="18" customHeight="1">
      <c r="B46" s="14"/>
      <c r="C46" s="14"/>
      <c r="F46" s="19"/>
    </row>
    <row r="47" spans="1:15" s="471" customFormat="1" ht="18" customHeight="1">
      <c r="B47" s="17"/>
      <c r="C47" s="14"/>
    </row>
    <row r="48" spans="1:15" ht="18" customHeight="1">
      <c r="B48" s="44"/>
      <c r="C48" s="44"/>
      <c r="D48" s="44"/>
      <c r="E48" s="44"/>
      <c r="F48" s="44"/>
      <c r="G48" s="44"/>
    </row>
    <row r="49" spans="1:15" ht="18" customHeight="1">
      <c r="B49" s="44"/>
      <c r="C49" s="44"/>
      <c r="D49" s="44"/>
      <c r="E49" s="44"/>
      <c r="F49" s="44"/>
      <c r="G49" s="44"/>
    </row>
    <row r="50" spans="1:15" s="131" customFormat="1" ht="15" customHeight="1">
      <c r="A50" s="132"/>
      <c r="C50" s="17"/>
      <c r="D50" s="132"/>
      <c r="E50" s="132"/>
      <c r="F50" s="6"/>
      <c r="G50" s="132"/>
      <c r="H50" s="132"/>
      <c r="I50" s="1902"/>
      <c r="J50" s="1902"/>
      <c r="K50" s="1902"/>
      <c r="L50" s="132"/>
      <c r="M50" s="1067"/>
      <c r="N50" s="132"/>
      <c r="O50" s="132"/>
    </row>
    <row r="51" spans="1:15" ht="18" customHeight="1"/>
    <row r="52" spans="1:15" ht="18" customHeight="1"/>
    <row r="53" spans="1:15" ht="18" customHeight="1"/>
    <row r="54" spans="1:15" ht="18" customHeight="1"/>
    <row r="55" spans="1:15" ht="18" customHeight="1"/>
    <row r="56" spans="1:15" ht="18" customHeight="1"/>
    <row r="57" spans="1:15" ht="18" customHeight="1"/>
    <row r="58" spans="1:15" ht="18" customHeight="1"/>
    <row r="59" spans="1:15" ht="18" customHeight="1"/>
    <row r="60" spans="1:15" ht="18" customHeight="1"/>
    <row r="61" spans="1:15" ht="18" customHeight="1"/>
    <row r="62" spans="1:15" ht="18" customHeight="1"/>
    <row r="63" spans="1:15" ht="18" customHeight="1"/>
    <row r="64" spans="1:15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</sheetData>
  <mergeCells count="40">
    <mergeCell ref="I12:K12"/>
    <mergeCell ref="I25:K25"/>
    <mergeCell ref="I8:K8"/>
    <mergeCell ref="I5:K5"/>
    <mergeCell ref="I6:K6"/>
    <mergeCell ref="I7:K7"/>
    <mergeCell ref="L12:N12"/>
    <mergeCell ref="L5:N5"/>
    <mergeCell ref="L6:N6"/>
    <mergeCell ref="L7:N7"/>
    <mergeCell ref="L8:N8"/>
    <mergeCell ref="A18:B18"/>
    <mergeCell ref="E12:E14"/>
    <mergeCell ref="F12:F14"/>
    <mergeCell ref="C21:F21"/>
    <mergeCell ref="A19:B19"/>
    <mergeCell ref="C18:D18"/>
    <mergeCell ref="C19:D19"/>
    <mergeCell ref="C15:D15"/>
    <mergeCell ref="C16:D16"/>
    <mergeCell ref="C17:D17"/>
    <mergeCell ref="A15:B17"/>
    <mergeCell ref="A20:B20"/>
    <mergeCell ref="C12:D14"/>
    <mergeCell ref="A12:B14"/>
    <mergeCell ref="B6:C6"/>
    <mergeCell ref="B8:C8"/>
    <mergeCell ref="B7:C7"/>
    <mergeCell ref="A5:C5"/>
    <mergeCell ref="A6:A8"/>
    <mergeCell ref="L27:N27"/>
    <mergeCell ref="A26:C27"/>
    <mergeCell ref="D26:F26"/>
    <mergeCell ref="D27:F27"/>
    <mergeCell ref="A25:F25"/>
    <mergeCell ref="C22:F22"/>
    <mergeCell ref="A21:B21"/>
    <mergeCell ref="A22:B22"/>
    <mergeCell ref="L25:N25"/>
    <mergeCell ref="L26:N26"/>
  </mergeCells>
  <conditionalFormatting sqref="G43:K47 G10:K10">
    <cfRule type="cellIs" dxfId="27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7" firstPageNumber="20" orientation="landscape" useFirstPageNumber="1" r:id="rId1"/>
  <headerFooter>
    <oddFooter>&amp;L&amp;P&amp;R&amp;G</oddFooter>
  </headerFooter>
  <rowBreaks count="3" manualBreakCount="3">
    <brk id="8" max="11" man="1"/>
    <brk id="27" max="11" man="1"/>
    <brk id="72" max="12" man="1"/>
  </rowBreaks>
  <ignoredErrors>
    <ignoredError sqref="L15:L19 L21" formula="1"/>
  </ignoredError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26">
    <tabColor rgb="FF92D050"/>
  </sheetPr>
  <dimension ref="A1:AY72"/>
  <sheetViews>
    <sheetView view="pageBreakPreview" zoomScale="85" zoomScaleNormal="100" zoomScaleSheetLayoutView="85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M20" sqref="M20"/>
    </sheetView>
  </sheetViews>
  <sheetFormatPr defaultColWidth="8.85546875" defaultRowHeight="15"/>
  <cols>
    <col min="1" max="1" width="4.7109375" style="244" customWidth="1"/>
    <col min="2" max="5" width="11.7109375" style="244" customWidth="1"/>
    <col min="6" max="6" width="11.7109375" style="2" customWidth="1"/>
    <col min="7" max="7" width="14.5703125" style="2" customWidth="1"/>
    <col min="8" max="8" width="14.5703125" style="244" customWidth="1"/>
    <col min="9" max="10" width="14.5703125" style="471" customWidth="1"/>
    <col min="11" max="11" width="14.5703125" style="244" customWidth="1"/>
    <col min="12" max="12" width="14.5703125" style="471" customWidth="1"/>
    <col min="13" max="13" width="14.5703125" style="244" customWidth="1"/>
    <col min="14" max="15" width="14.5703125" style="471" customWidth="1"/>
    <col min="16" max="16" width="14.5703125" style="244" customWidth="1"/>
    <col min="17" max="17" width="15.85546875" style="244" customWidth="1"/>
    <col min="18" max="19" width="20.7109375" style="244" customWidth="1"/>
    <col min="20" max="16384" width="8.85546875" style="244"/>
  </cols>
  <sheetData>
    <row r="1" spans="1:51" s="11" customFormat="1" ht="18" customHeight="1">
      <c r="B1" s="1026" t="s">
        <v>307</v>
      </c>
      <c r="C1" s="24"/>
      <c r="D1" s="24"/>
      <c r="E1" s="24"/>
      <c r="F1" s="4"/>
      <c r="K1" s="129"/>
      <c r="L1" s="129"/>
      <c r="M1" s="129"/>
      <c r="N1" s="129"/>
      <c r="O1" s="129"/>
      <c r="Q1" s="780"/>
      <c r="U1" s="1027"/>
      <c r="V1" s="1027"/>
      <c r="W1" s="1027"/>
      <c r="X1" s="1027"/>
      <c r="Y1" s="1027"/>
      <c r="Z1" s="1027"/>
      <c r="AA1" s="1027"/>
      <c r="AB1" s="1027"/>
      <c r="AC1" s="1027"/>
      <c r="AD1" s="1027"/>
      <c r="AE1" s="1027"/>
      <c r="AF1" s="1027"/>
      <c r="AG1" s="1027"/>
      <c r="AH1" s="1027"/>
      <c r="AI1" s="1027"/>
      <c r="AJ1" s="1027"/>
      <c r="AK1" s="1027"/>
      <c r="AL1" s="1027"/>
      <c r="AM1" s="1027"/>
      <c r="AN1" s="1027"/>
      <c r="AO1" s="1027"/>
      <c r="AP1" s="1027"/>
      <c r="AQ1" s="1027"/>
      <c r="AR1" s="1027"/>
      <c r="AS1" s="1027"/>
      <c r="AT1" s="1027"/>
      <c r="AU1" s="1027"/>
      <c r="AV1" s="1027"/>
      <c r="AW1" s="1027"/>
      <c r="AX1" s="1027"/>
      <c r="AY1" s="1027"/>
    </row>
    <row r="2" spans="1:51">
      <c r="A2" s="5"/>
      <c r="B2" s="243"/>
      <c r="C2" s="243"/>
      <c r="D2" s="243"/>
      <c r="E2" s="243"/>
      <c r="F2" s="6"/>
      <c r="G2" s="108"/>
      <c r="H2" s="108"/>
      <c r="I2" s="108"/>
      <c r="J2" s="108"/>
      <c r="K2" s="243"/>
      <c r="L2" s="1072"/>
      <c r="M2" s="243"/>
      <c r="N2" s="2347"/>
      <c r="O2" s="2347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</row>
    <row r="3" spans="1:51" ht="90" customHeight="1">
      <c r="A3" s="7"/>
      <c r="B3" s="752"/>
      <c r="C3" s="752"/>
      <c r="D3" s="752"/>
      <c r="E3" s="752"/>
      <c r="F3" s="8"/>
      <c r="G3" s="108"/>
      <c r="H3" s="61"/>
      <c r="I3" s="61"/>
      <c r="J3" s="61"/>
      <c r="K3" s="60"/>
      <c r="L3" s="60"/>
      <c r="M3" s="60"/>
      <c r="N3" s="60"/>
      <c r="O3" s="60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</row>
    <row r="4" spans="1:51">
      <c r="A4" s="243"/>
      <c r="B4" s="49" t="s">
        <v>306</v>
      </c>
      <c r="C4" s="243"/>
      <c r="D4" s="243"/>
      <c r="E4" s="243"/>
      <c r="F4" s="6"/>
      <c r="G4" s="256"/>
      <c r="K4" s="3"/>
      <c r="L4" s="3"/>
      <c r="M4" s="3"/>
      <c r="N4" s="13"/>
      <c r="O4" s="13"/>
      <c r="U4" s="48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</row>
    <row r="5" spans="1:51" ht="16.5" customHeight="1">
      <c r="A5" s="3184" t="s">
        <v>1</v>
      </c>
      <c r="B5" s="3184"/>
      <c r="C5" s="3184"/>
      <c r="D5" s="3184" t="s">
        <v>39</v>
      </c>
      <c r="E5" s="3184" t="s">
        <v>44</v>
      </c>
      <c r="F5" s="3184" t="s">
        <v>7</v>
      </c>
      <c r="G5" s="1119" t="s">
        <v>706</v>
      </c>
      <c r="H5" s="3143" t="s">
        <v>707</v>
      </c>
      <c r="I5" s="3143"/>
      <c r="J5" s="3143"/>
      <c r="K5" s="3143" t="s">
        <v>708</v>
      </c>
      <c r="L5" s="3143"/>
      <c r="M5" s="2346" t="s">
        <v>709</v>
      </c>
      <c r="N5" s="3187" t="s">
        <v>2186</v>
      </c>
      <c r="O5" s="3187"/>
      <c r="P5" s="3187" t="s">
        <v>2187</v>
      </c>
      <c r="Q5" s="3187"/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481"/>
      <c r="AS5" s="481"/>
      <c r="AT5" s="481"/>
      <c r="AU5" s="481"/>
      <c r="AV5" s="481"/>
      <c r="AW5" s="481"/>
      <c r="AX5" s="481"/>
      <c r="AY5" s="481"/>
    </row>
    <row r="6" spans="1:51" ht="16.5" customHeight="1">
      <c r="A6" s="3184"/>
      <c r="B6" s="3184"/>
      <c r="C6" s="3184"/>
      <c r="D6" s="3184"/>
      <c r="E6" s="3184"/>
      <c r="F6" s="3184"/>
      <c r="G6" s="1118" t="s">
        <v>20</v>
      </c>
      <c r="H6" s="719" t="s">
        <v>21</v>
      </c>
      <c r="I6" s="719" t="s">
        <v>22</v>
      </c>
      <c r="J6" s="719" t="s">
        <v>1066</v>
      </c>
      <c r="K6" s="719" t="s">
        <v>21</v>
      </c>
      <c r="L6" s="719" t="s">
        <v>22</v>
      </c>
      <c r="M6" s="719" t="s">
        <v>21</v>
      </c>
      <c r="N6" s="1161" t="s">
        <v>20</v>
      </c>
      <c r="O6" s="1161" t="s">
        <v>21</v>
      </c>
      <c r="P6" s="1161" t="s">
        <v>20</v>
      </c>
      <c r="Q6" s="1161" t="s">
        <v>21</v>
      </c>
      <c r="R6" s="250"/>
      <c r="S6" s="250"/>
      <c r="T6" s="250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</row>
    <row r="7" spans="1:51" s="60" customFormat="1" ht="30" customHeight="1">
      <c r="A7" s="2884" t="s">
        <v>1952</v>
      </c>
      <c r="B7" s="2884"/>
      <c r="C7" s="2884"/>
      <c r="D7" s="2045" t="s">
        <v>1953</v>
      </c>
      <c r="E7" s="2026" t="s">
        <v>42</v>
      </c>
      <c r="F7" s="2025" t="s">
        <v>0</v>
      </c>
      <c r="G7" s="2059">
        <f>'Полотна база'!X9*(1+скидки_наценки!$B$30)*скидки_наценки!$D$13*скидки_наценки!$F$13/скидки_наценки!$B$4</f>
        <v>27300</v>
      </c>
      <c r="H7" s="2059">
        <f>'Полотна база'!Y9*(1+скидки_наценки!$B$30)*скидки_наценки!$D$13*скидки_наценки!$F$13/скидки_наценки!$B$4</f>
        <v>30450</v>
      </c>
      <c r="I7" s="2059">
        <f>'Полотна база'!Y9*(1+скидки_наценки!$B$30)*скидки_наценки!$D$13*скидки_наценки!$F$13/скидки_наценки!$B$4</f>
        <v>30450</v>
      </c>
      <c r="J7" s="2059">
        <f>'Полотна база'!Y9*(1+скидки_наценки!$B$30)*скидки_наценки!$D$13*скидки_наценки!$F$13/скидки_наценки!$B$4</f>
        <v>30450</v>
      </c>
      <c r="K7" s="2059">
        <f>'Полотна база'!Y9*(1+скидки_наценки!$B$30)*скидки_наценки!$D$13*скидки_наценки!$F$13/скидки_наценки!$B$4</f>
        <v>30450</v>
      </c>
      <c r="L7" s="2059">
        <f>'Полотна база'!Y9*(1+скидки_наценки!$B$30)*скидки_наценки!$D$13*скидки_наценки!$F$13/скидки_наценки!$B$4</f>
        <v>30450</v>
      </c>
      <c r="M7" s="2059">
        <f>'Полотна база'!Z9*(1+скидки_наценки!$B$30)*скидки_наценки!$D$13*скидки_наценки!$F$13/скидки_наценки!$B$4</f>
        <v>33550</v>
      </c>
      <c r="N7" s="2349">
        <f>'Полотна база'!X9*(1+скидки_наценки!$B$30)*скидки_наценки!$D$13*скидки_наценки!$F$13/скидки_наценки!$B$4</f>
        <v>27300</v>
      </c>
      <c r="O7" s="2349">
        <f>'Полотна база'!Y9*(1+скидки_наценки!$B$30)*скидки_наценки!$D$13*скидки_наценки!$F$13/скидки_наценки!$B$4</f>
        <v>30450</v>
      </c>
      <c r="P7" s="2350">
        <f>'Полотна база'!X9*(1+скидки_наценки!$B$30)*скидки_наценки!$D$13*скидки_наценки!$F$13/скидки_наценки!$B$4</f>
        <v>27300</v>
      </c>
      <c r="Q7" s="2350">
        <f>'Полотна база'!Y9*(1+скидки_наценки!$B$30)*скидки_наценки!$D$13*скидки_наценки!$F$13/скидки_наценки!$B$4</f>
        <v>30450</v>
      </c>
      <c r="R7" s="61"/>
      <c r="S7" s="61"/>
      <c r="T7" s="61"/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  <c r="AP7" s="481"/>
      <c r="AQ7" s="481"/>
      <c r="AR7" s="481"/>
      <c r="AS7" s="481"/>
      <c r="AT7" s="481"/>
      <c r="AU7" s="481"/>
      <c r="AV7" s="481"/>
      <c r="AW7" s="481"/>
      <c r="AX7" s="481"/>
      <c r="AY7" s="481"/>
    </row>
    <row r="8" spans="1:51">
      <c r="F8" s="244"/>
      <c r="G8" s="256"/>
      <c r="K8" s="61"/>
      <c r="L8" s="61"/>
      <c r="M8" s="61"/>
      <c r="N8" s="61"/>
      <c r="O8" s="61"/>
      <c r="P8" s="250"/>
      <c r="Q8" s="250"/>
      <c r="R8" s="250"/>
      <c r="S8" s="250"/>
      <c r="T8" s="250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  <c r="AP8" s="481"/>
      <c r="AQ8" s="481"/>
      <c r="AR8" s="481"/>
      <c r="AS8" s="481"/>
      <c r="AT8" s="481"/>
      <c r="AU8" s="481"/>
      <c r="AV8" s="481"/>
      <c r="AW8" s="481"/>
      <c r="AX8" s="481"/>
      <c r="AY8" s="481"/>
    </row>
    <row r="9" spans="1:51" s="9" customFormat="1">
      <c r="A9" s="244"/>
      <c r="B9" s="289"/>
      <c r="C9" s="244"/>
      <c r="D9" s="244"/>
      <c r="E9" s="244"/>
      <c r="F9" s="244"/>
      <c r="G9" s="256"/>
      <c r="H9" s="244"/>
      <c r="I9" s="471"/>
      <c r="J9" s="471"/>
      <c r="K9" s="61"/>
      <c r="L9" s="61"/>
      <c r="M9" s="61"/>
      <c r="N9" s="61"/>
      <c r="O9" s="61"/>
      <c r="P9" s="250"/>
      <c r="Q9" s="250"/>
      <c r="R9" s="250"/>
      <c r="S9" s="250"/>
      <c r="T9" s="250"/>
      <c r="U9" s="481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481"/>
    </row>
    <row r="10" spans="1:51" ht="18" customHeight="1">
      <c r="A10" s="243"/>
      <c r="B10" s="17" t="s">
        <v>24</v>
      </c>
      <c r="C10" s="243"/>
      <c r="D10" s="243"/>
      <c r="E10" s="243"/>
      <c r="F10" s="6"/>
      <c r="G10" s="6"/>
      <c r="H10" s="243"/>
      <c r="I10" s="1072"/>
      <c r="J10" s="1072"/>
      <c r="K10" s="243"/>
      <c r="L10" s="1072"/>
      <c r="M10" s="243"/>
      <c r="N10" s="2347"/>
      <c r="O10" s="2347"/>
      <c r="P10" s="250"/>
      <c r="Q10" s="250"/>
      <c r="R10" s="250"/>
      <c r="S10" s="250"/>
      <c r="T10" s="250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</row>
    <row r="11" spans="1:51" ht="13.5" customHeight="1">
      <c r="A11" s="3185" t="s">
        <v>36</v>
      </c>
      <c r="B11" s="3185"/>
      <c r="C11" s="3185" t="s">
        <v>33</v>
      </c>
      <c r="D11" s="3185"/>
      <c r="E11" s="2881" t="s">
        <v>37</v>
      </c>
      <c r="F11" s="2882"/>
      <c r="G11" s="2990" t="s">
        <v>706</v>
      </c>
      <c r="H11" s="2992" t="s">
        <v>707</v>
      </c>
      <c r="I11" s="3057"/>
      <c r="J11" s="3058"/>
      <c r="K11" s="2992" t="s">
        <v>708</v>
      </c>
      <c r="L11" s="3058"/>
      <c r="M11" s="1096" t="s">
        <v>709</v>
      </c>
      <c r="N11" s="3187" t="s">
        <v>2186</v>
      </c>
      <c r="O11" s="3187"/>
      <c r="P11" s="3187" t="s">
        <v>2187</v>
      </c>
      <c r="Q11" s="3187"/>
      <c r="R11" s="250"/>
      <c r="S11" s="250"/>
      <c r="T11" s="250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</row>
    <row r="12" spans="1:51" s="471" customFormat="1" ht="15" customHeight="1">
      <c r="A12" s="3184"/>
      <c r="B12" s="3184"/>
      <c r="C12" s="3184"/>
      <c r="D12" s="3184"/>
      <c r="E12" s="3032"/>
      <c r="F12" s="3186"/>
      <c r="G12" s="3094"/>
      <c r="H12" s="1587" t="str">
        <f t="shared" ref="H12:M12" si="0">H6</f>
        <v>ДО</v>
      </c>
      <c r="I12" s="1587" t="str">
        <f t="shared" si="0"/>
        <v>ДГО</v>
      </c>
      <c r="J12" s="1587" t="str">
        <f t="shared" si="0"/>
        <v>ДГО2</v>
      </c>
      <c r="K12" s="1587" t="str">
        <f t="shared" si="0"/>
        <v>ДО</v>
      </c>
      <c r="L12" s="1587" t="str">
        <f t="shared" si="0"/>
        <v>ДГО</v>
      </c>
      <c r="M12" s="1587" t="str">
        <f t="shared" si="0"/>
        <v>ДО</v>
      </c>
      <c r="N12" s="1161" t="s">
        <v>20</v>
      </c>
      <c r="O12" s="1161" t="s">
        <v>21</v>
      </c>
      <c r="P12" s="1161" t="s">
        <v>20</v>
      </c>
      <c r="Q12" s="1161" t="s">
        <v>21</v>
      </c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</row>
    <row r="13" spans="1:51" ht="15" customHeight="1">
      <c r="A13" s="3185"/>
      <c r="B13" s="3185"/>
      <c r="C13" s="3185"/>
      <c r="D13" s="3185"/>
      <c r="E13" s="2946"/>
      <c r="F13" s="2947"/>
      <c r="G13" s="3095"/>
      <c r="H13" s="1130" t="s">
        <v>176</v>
      </c>
      <c r="I13" s="1130" t="s">
        <v>176</v>
      </c>
      <c r="J13" s="1130" t="s">
        <v>176</v>
      </c>
      <c r="K13" s="1130" t="s">
        <v>176</v>
      </c>
      <c r="L13" s="1130" t="s">
        <v>176</v>
      </c>
      <c r="M13" s="2344" t="s">
        <v>176</v>
      </c>
      <c r="N13" s="1161" t="s">
        <v>3</v>
      </c>
      <c r="O13" s="2345" t="s">
        <v>176</v>
      </c>
      <c r="P13" s="2348" t="s">
        <v>3</v>
      </c>
      <c r="Q13" s="2345" t="s">
        <v>176</v>
      </c>
      <c r="R13" s="250"/>
      <c r="S13" s="250"/>
      <c r="T13" s="250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</row>
    <row r="14" spans="1:51" ht="19.899999999999999" hidden="1" customHeight="1">
      <c r="A14" s="3036" t="s">
        <v>30</v>
      </c>
      <c r="B14" s="3191"/>
      <c r="C14" s="3042" t="s">
        <v>29</v>
      </c>
      <c r="D14" s="3043"/>
      <c r="E14" s="3042" t="s">
        <v>170</v>
      </c>
      <c r="F14" s="3195"/>
      <c r="G14" s="278" t="s">
        <v>3</v>
      </c>
      <c r="H14" s="1104" t="s">
        <v>1192</v>
      </c>
      <c r="I14" s="1104" t="s">
        <v>1192</v>
      </c>
      <c r="J14" s="1104" t="s">
        <v>1192</v>
      </c>
      <c r="K14" s="1104" t="s">
        <v>1192</v>
      </c>
      <c r="L14" s="1104" t="s">
        <v>1192</v>
      </c>
      <c r="M14" s="2351" t="s">
        <v>3</v>
      </c>
      <c r="N14" s="2355"/>
      <c r="O14" s="2355"/>
      <c r="P14" s="2348"/>
      <c r="Q14" s="2356"/>
      <c r="R14" s="320"/>
      <c r="S14" s="250"/>
      <c r="T14" s="250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AV14" s="481"/>
      <c r="AW14" s="481"/>
      <c r="AX14" s="481"/>
      <c r="AY14" s="481"/>
    </row>
    <row r="15" spans="1:51" ht="24" customHeight="1">
      <c r="A15" s="3038"/>
      <c r="B15" s="3192"/>
      <c r="C15" s="2917" t="s">
        <v>164</v>
      </c>
      <c r="D15" s="2918"/>
      <c r="E15" s="2917" t="s">
        <v>171</v>
      </c>
      <c r="F15" s="3199"/>
      <c r="G15" s="1748" t="s">
        <v>3</v>
      </c>
      <c r="H15" s="1757" t="s">
        <v>1192</v>
      </c>
      <c r="I15" s="1757" t="s">
        <v>1192</v>
      </c>
      <c r="J15" s="1757" t="s">
        <v>1192</v>
      </c>
      <c r="K15" s="1757" t="s">
        <v>1192</v>
      </c>
      <c r="L15" s="1757" t="s">
        <v>1192</v>
      </c>
      <c r="M15" s="2215" t="s">
        <v>1315</v>
      </c>
      <c r="N15" s="2357" t="s">
        <v>3</v>
      </c>
      <c r="O15" s="2357"/>
      <c r="P15" s="2348" t="s">
        <v>3</v>
      </c>
      <c r="Q15" s="2356"/>
      <c r="R15" s="250"/>
      <c r="S15" s="250"/>
      <c r="T15" s="250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  <c r="AU15" s="481"/>
      <c r="AV15" s="481"/>
      <c r="AW15" s="481"/>
      <c r="AX15" s="481"/>
      <c r="AY15" s="481"/>
    </row>
    <row r="16" spans="1:51" s="471" customFormat="1" ht="24" hidden="1" customHeight="1">
      <c r="A16" s="3038"/>
      <c r="B16" s="3192"/>
      <c r="C16" s="1746" t="s">
        <v>1759</v>
      </c>
      <c r="D16" s="1747"/>
      <c r="E16" s="1754"/>
      <c r="F16" s="1755"/>
      <c r="G16" s="1756"/>
      <c r="H16" s="312">
        <f>CEILING((Стекла_база!C98)*(1+скидки_наценки!$B$32)*скидки_наценки!$D$13*скидки_наценки!$F$13/скидки_наценки!$B$4, 50)</f>
        <v>800</v>
      </c>
      <c r="I16" s="312">
        <f>CEILING(H16*0.6, 50)</f>
        <v>500</v>
      </c>
      <c r="J16" s="312">
        <f>CEILING(H16*0.8, 50)</f>
        <v>650</v>
      </c>
      <c r="K16" s="312">
        <f>H16</f>
        <v>800</v>
      </c>
      <c r="L16" s="312">
        <f>I16</f>
        <v>500</v>
      </c>
      <c r="M16" s="2352"/>
      <c r="N16" s="2357"/>
      <c r="O16" s="2357"/>
      <c r="P16" s="2348"/>
      <c r="Q16" s="2356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</row>
    <row r="17" spans="1:51" ht="20.25" customHeight="1">
      <c r="A17" s="3193"/>
      <c r="B17" s="3194"/>
      <c r="C17" s="3004" t="s">
        <v>165</v>
      </c>
      <c r="D17" s="3005"/>
      <c r="E17" s="3200" t="s">
        <v>171</v>
      </c>
      <c r="F17" s="3201"/>
      <c r="G17" s="284" t="s">
        <v>3</v>
      </c>
      <c r="H17" s="306">
        <f>(Стекла_база!$C$99-Стекла_база!$C$98)*(1+скидки_наценки!$B$32)*скидки_наценки!$D$13*скидки_наценки!$F$13/скидки_наценки!$B$4</f>
        <v>770</v>
      </c>
      <c r="I17" s="1069">
        <f>H17*0.61</f>
        <v>469.7</v>
      </c>
      <c r="J17" s="1069">
        <f>H17*0.792</f>
        <v>609.84</v>
      </c>
      <c r="K17" s="781">
        <f>H17</f>
        <v>770</v>
      </c>
      <c r="L17" s="1076">
        <f>I17</f>
        <v>469.7</v>
      </c>
      <c r="M17" s="2353" t="s">
        <v>1192</v>
      </c>
      <c r="N17" s="2244" t="s">
        <v>3</v>
      </c>
      <c r="O17" s="2244">
        <f>H17</f>
        <v>770</v>
      </c>
      <c r="P17" s="1022" t="s">
        <v>3</v>
      </c>
      <c r="Q17" s="2244">
        <f>H17</f>
        <v>770</v>
      </c>
      <c r="R17" s="250"/>
      <c r="S17" s="250"/>
      <c r="T17" s="250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  <c r="AP17" s="481"/>
      <c r="AQ17" s="481"/>
      <c r="AR17" s="481"/>
      <c r="AS17" s="481"/>
      <c r="AT17" s="481"/>
      <c r="AU17" s="481"/>
      <c r="AV17" s="481"/>
      <c r="AW17" s="481"/>
      <c r="AX17" s="481"/>
      <c r="AY17" s="481"/>
    </row>
    <row r="18" spans="1:51" ht="15" customHeight="1">
      <c r="A18" s="3196" t="s">
        <v>172</v>
      </c>
      <c r="B18" s="3197"/>
      <c r="C18" s="3197"/>
      <c r="D18" s="3197"/>
      <c r="E18" s="3197"/>
      <c r="F18" s="3197"/>
      <c r="G18" s="3197"/>
      <c r="H18" s="3197"/>
      <c r="I18" s="3198"/>
      <c r="J18" s="3198"/>
      <c r="K18" s="3197"/>
      <c r="L18" s="3198"/>
      <c r="M18" s="3198"/>
      <c r="N18" s="2358" t="s">
        <v>4</v>
      </c>
      <c r="O18" s="2358"/>
      <c r="P18" s="2359"/>
      <c r="Q18" s="2360"/>
      <c r="R18" s="250"/>
      <c r="S18" s="250"/>
      <c r="T18" s="250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1"/>
      <c r="AW18" s="481"/>
      <c r="AX18" s="481"/>
      <c r="AY18" s="481"/>
    </row>
    <row r="19" spans="1:51" ht="19.899999999999999" customHeight="1">
      <c r="A19" s="3099" t="s">
        <v>178</v>
      </c>
      <c r="B19" s="3099"/>
      <c r="C19" s="3097" t="s">
        <v>304</v>
      </c>
      <c r="D19" s="3202"/>
      <c r="E19" s="3202"/>
      <c r="F19" s="3202"/>
      <c r="G19" s="297" t="s">
        <v>3</v>
      </c>
      <c r="H19" s="297">
        <f>Стекла_база!N79*(1+скидки_наценки!$B$32)*скидки_наценки!$D$13*скидки_наценки!$F$13/скидки_наценки!$B$4</f>
        <v>750</v>
      </c>
      <c r="I19" s="704">
        <f>H19*0.6</f>
        <v>450</v>
      </c>
      <c r="J19" s="704">
        <f>H19*0.8</f>
        <v>600</v>
      </c>
      <c r="K19" s="297">
        <f>H19</f>
        <v>750</v>
      </c>
      <c r="L19" s="704">
        <f>I19</f>
        <v>450</v>
      </c>
      <c r="M19" s="2354">
        <f>H19</f>
        <v>750</v>
      </c>
      <c r="N19" s="2245" t="s">
        <v>3</v>
      </c>
      <c r="O19" s="2245">
        <f>H19</f>
        <v>750</v>
      </c>
      <c r="P19" s="2348" t="s">
        <v>3</v>
      </c>
      <c r="Q19" s="2361">
        <f>O19</f>
        <v>750</v>
      </c>
      <c r="R19" s="250"/>
      <c r="S19" s="250"/>
      <c r="T19" s="250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</row>
    <row r="20" spans="1:51" s="22" customFormat="1" ht="40.15" customHeight="1">
      <c r="A20" s="3188" t="s">
        <v>182</v>
      </c>
      <c r="B20" s="3189"/>
      <c r="C20" s="3051" t="s">
        <v>305</v>
      </c>
      <c r="D20" s="3190"/>
      <c r="E20" s="3190"/>
      <c r="F20" s="3190"/>
      <c r="G20" s="279" t="s">
        <v>3</v>
      </c>
      <c r="H20" s="279">
        <f>Стекла_база!I79*(1+скидки_наценки!$B$32)*скидки_наценки!$D$13*скидки_наценки!$F$13/скидки_наценки!$B$4</f>
        <v>730</v>
      </c>
      <c r="I20" s="696">
        <f>H20*0.616</f>
        <v>449.68</v>
      </c>
      <c r="J20" s="696">
        <f>H20*0.808</f>
        <v>589.84</v>
      </c>
      <c r="K20" s="279">
        <f>H20</f>
        <v>730</v>
      </c>
      <c r="L20" s="696">
        <f>I20</f>
        <v>449.68</v>
      </c>
      <c r="M20" s="2244" t="s">
        <v>3</v>
      </c>
      <c r="N20" s="2244" t="s">
        <v>3</v>
      </c>
      <c r="O20" s="2244">
        <f>H20</f>
        <v>730</v>
      </c>
      <c r="P20" s="1022" t="s">
        <v>3</v>
      </c>
      <c r="Q20" s="2362">
        <f>O20</f>
        <v>730</v>
      </c>
      <c r="R20" s="250"/>
      <c r="S20" s="250"/>
      <c r="T20" s="250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</row>
    <row r="21" spans="1:51" s="22" customFormat="1">
      <c r="B21" s="372"/>
      <c r="C21" s="176"/>
      <c r="D21" s="176"/>
      <c r="E21" s="176"/>
      <c r="G21" s="175"/>
      <c r="H21" s="177"/>
      <c r="I21" s="177"/>
      <c r="J21" s="177"/>
      <c r="K21" s="14"/>
      <c r="L21" s="14"/>
      <c r="M21" s="18"/>
      <c r="N21" s="18"/>
      <c r="O21" s="18"/>
      <c r="P21" s="27"/>
      <c r="Q21" s="322"/>
      <c r="R21" s="172"/>
      <c r="T21" s="18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</row>
    <row r="22" spans="1:51" ht="18" customHeight="1">
      <c r="A22" s="485"/>
      <c r="B22" s="479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82"/>
      <c r="P22" s="211"/>
      <c r="Q22" s="211"/>
      <c r="R22" s="211"/>
      <c r="S22" s="211"/>
      <c r="T22" s="211"/>
    </row>
    <row r="23" spans="1:51" ht="18" customHeight="1">
      <c r="A23" s="485"/>
      <c r="B23" s="479"/>
      <c r="C23" s="482"/>
      <c r="D23" s="482"/>
      <c r="E23" s="482"/>
      <c r="F23" s="482"/>
      <c r="G23" s="482"/>
      <c r="H23" s="1753"/>
      <c r="I23" s="1753"/>
      <c r="J23" s="1753"/>
      <c r="K23" s="1753"/>
      <c r="L23" s="1753"/>
      <c r="M23" s="482"/>
      <c r="N23" s="482"/>
      <c r="O23" s="482"/>
      <c r="P23" s="211"/>
      <c r="Q23" s="211"/>
      <c r="R23" s="211"/>
      <c r="S23" s="211"/>
      <c r="T23" s="211"/>
    </row>
    <row r="24" spans="1:51" ht="18" customHeight="1">
      <c r="A24" s="211"/>
      <c r="B24" s="319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</row>
    <row r="25" spans="1:51" ht="90" customHeight="1">
      <c r="A25" s="211"/>
      <c r="B25" s="319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</row>
    <row r="26" spans="1:51">
      <c r="A26" s="211"/>
      <c r="B26" s="211"/>
      <c r="C26" s="211"/>
      <c r="D26" s="211"/>
      <c r="E26" s="211"/>
      <c r="F26" s="486"/>
      <c r="G26" s="486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</row>
    <row r="27" spans="1:51" ht="38.25" customHeight="1">
      <c r="A27" s="211"/>
      <c r="B27" s="211"/>
      <c r="C27" s="211"/>
      <c r="D27" s="211"/>
      <c r="E27" s="211"/>
      <c r="F27" s="486"/>
      <c r="G27" s="486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</row>
    <row r="28" spans="1:51" s="14" customFormat="1" ht="12" customHeight="1">
      <c r="A28" s="487"/>
      <c r="B28" s="487"/>
      <c r="C28" s="487"/>
      <c r="D28" s="487"/>
      <c r="E28" s="487"/>
      <c r="F28" s="487"/>
      <c r="G28" s="487"/>
      <c r="H28" s="487"/>
      <c r="I28" s="487"/>
      <c r="J28" s="487"/>
      <c r="K28" s="487"/>
      <c r="L28" s="487"/>
      <c r="M28" s="487"/>
      <c r="N28" s="487"/>
      <c r="O28" s="487"/>
      <c r="P28" s="487"/>
      <c r="Q28" s="487"/>
      <c r="R28" s="487"/>
      <c r="S28" s="487"/>
      <c r="T28" s="487"/>
    </row>
    <row r="29" spans="1:51" s="243" customFormat="1" ht="24.95" customHeight="1">
      <c r="A29" s="359"/>
      <c r="B29" s="359"/>
      <c r="C29" s="359"/>
      <c r="D29" s="359"/>
      <c r="E29" s="359"/>
      <c r="F29" s="359"/>
      <c r="G29" s="359"/>
      <c r="H29" s="359"/>
      <c r="I29" s="359"/>
      <c r="J29" s="359"/>
      <c r="K29" s="359"/>
      <c r="L29" s="359"/>
      <c r="M29" s="359"/>
      <c r="N29" s="359"/>
      <c r="O29" s="359"/>
      <c r="P29" s="359"/>
      <c r="Q29" s="359"/>
      <c r="R29" s="359"/>
      <c r="S29" s="359"/>
      <c r="T29" s="359"/>
    </row>
    <row r="30" spans="1:51" s="243" customFormat="1" ht="24.95" customHeight="1">
      <c r="A30" s="359"/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</row>
    <row r="31" spans="1:51" s="243" customFormat="1" ht="24.95" customHeight="1">
      <c r="A31" s="359"/>
      <c r="B31" s="359"/>
      <c r="C31" s="359"/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</row>
    <row r="32" spans="1:51" s="243" customFormat="1" ht="24.95" customHeight="1">
      <c r="A32" s="359"/>
      <c r="B32" s="359"/>
      <c r="C32" s="359"/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</row>
    <row r="33" spans="1:20" s="60" customFormat="1" ht="14.1" customHeight="1">
      <c r="A33" s="359"/>
      <c r="B33" s="359"/>
      <c r="C33" s="359"/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  <c r="S33" s="359"/>
      <c r="T33" s="359"/>
    </row>
    <row r="34" spans="1:20" s="20" customFormat="1" ht="24" customHeight="1">
      <c r="A34" s="475"/>
      <c r="B34" s="475"/>
      <c r="C34" s="475"/>
      <c r="D34" s="475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  <c r="R34" s="475"/>
      <c r="S34" s="475"/>
      <c r="T34" s="475"/>
    </row>
    <row r="35" spans="1:20" s="20" customFormat="1" ht="39.950000000000003" customHeight="1">
      <c r="A35" s="475"/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5"/>
      <c r="N35" s="475"/>
      <c r="O35" s="475"/>
      <c r="P35" s="475"/>
      <c r="Q35" s="475"/>
      <c r="R35" s="475"/>
      <c r="S35" s="475"/>
      <c r="T35" s="475"/>
    </row>
    <row r="36" spans="1:20" ht="18" customHeight="1">
      <c r="A36" s="211"/>
      <c r="B36" s="211"/>
      <c r="C36" s="486"/>
      <c r="D36" s="486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</row>
    <row r="37" spans="1:20" s="263" customFormat="1" ht="18" customHeight="1">
      <c r="A37" s="211"/>
      <c r="B37" s="211"/>
      <c r="C37" s="486"/>
      <c r="D37" s="486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</row>
    <row r="38" spans="1:20" s="263" customFormat="1" ht="18" customHeight="1">
      <c r="A38" s="211"/>
      <c r="B38" s="211"/>
      <c r="C38" s="486"/>
      <c r="D38" s="486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</row>
    <row r="39" spans="1:20" s="263" customFormat="1" ht="18" customHeight="1">
      <c r="A39" s="211"/>
      <c r="B39" s="211"/>
      <c r="C39" s="486"/>
      <c r="D39" s="486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</row>
    <row r="40" spans="1:20" s="263" customFormat="1" ht="18" customHeight="1">
      <c r="A40" s="211"/>
      <c r="B40" s="211"/>
      <c r="C40" s="486"/>
      <c r="D40" s="486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</row>
    <row r="41" spans="1:20" s="263" customFormat="1" ht="18" customHeight="1">
      <c r="A41" s="211"/>
      <c r="B41" s="211"/>
      <c r="C41" s="486"/>
      <c r="D41" s="486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</row>
    <row r="42" spans="1:20" s="263" customFormat="1" ht="18" customHeight="1">
      <c r="A42" s="211"/>
      <c r="B42" s="211"/>
      <c r="C42" s="486"/>
      <c r="D42" s="486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</row>
    <row r="43" spans="1:20" ht="15" customHeight="1">
      <c r="A43" s="123"/>
      <c r="B43" s="211"/>
      <c r="C43" s="123"/>
      <c r="D43" s="123"/>
      <c r="E43" s="123"/>
      <c r="F43" s="123"/>
      <c r="G43" s="123"/>
      <c r="H43" s="27"/>
      <c r="I43" s="27"/>
      <c r="J43" s="27"/>
      <c r="K43" s="27"/>
      <c r="L43" s="27"/>
      <c r="M43" s="27"/>
      <c r="N43" s="27"/>
      <c r="O43" s="27"/>
      <c r="P43" s="211"/>
      <c r="Q43" s="211"/>
      <c r="R43" s="211"/>
      <c r="S43" s="211"/>
      <c r="T43" s="211"/>
    </row>
    <row r="44" spans="1:20" ht="18" customHeight="1">
      <c r="A44" s="123"/>
      <c r="B44" s="123"/>
      <c r="C44" s="123"/>
      <c r="D44" s="123"/>
      <c r="E44" s="123"/>
      <c r="F44" s="123"/>
      <c r="G44" s="123"/>
      <c r="H44" s="27"/>
      <c r="I44" s="27"/>
      <c r="J44" s="27"/>
      <c r="K44" s="27"/>
      <c r="L44" s="27"/>
      <c r="M44" s="27"/>
      <c r="N44" s="27"/>
      <c r="O44" s="27"/>
      <c r="P44" s="211"/>
      <c r="Q44" s="211"/>
      <c r="R44" s="211"/>
      <c r="S44" s="211"/>
      <c r="T44" s="211"/>
    </row>
    <row r="45" spans="1:20" ht="18" customHeight="1">
      <c r="A45" s="123"/>
      <c r="B45" s="211"/>
      <c r="C45" s="211"/>
      <c r="D45" s="211"/>
      <c r="E45" s="211"/>
      <c r="F45" s="211"/>
      <c r="G45" s="484"/>
      <c r="H45" s="484"/>
      <c r="I45" s="484"/>
      <c r="J45" s="484"/>
      <c r="K45" s="211"/>
      <c r="L45" s="211"/>
      <c r="M45" s="486"/>
      <c r="N45" s="486"/>
      <c r="O45" s="486"/>
      <c r="P45" s="211"/>
      <c r="Q45" s="211"/>
      <c r="R45" s="211"/>
      <c r="S45" s="211"/>
      <c r="T45" s="211"/>
    </row>
    <row r="46" spans="1:20" ht="18" customHeight="1">
      <c r="A46" s="123"/>
      <c r="B46" s="211"/>
      <c r="C46" s="211"/>
      <c r="D46" s="211"/>
      <c r="E46" s="211"/>
      <c r="F46" s="211"/>
      <c r="G46" s="484"/>
      <c r="H46" s="484"/>
      <c r="I46" s="484"/>
      <c r="J46" s="484"/>
      <c r="K46" s="211"/>
      <c r="L46" s="211"/>
      <c r="M46" s="486"/>
      <c r="N46" s="486"/>
      <c r="O46" s="486"/>
      <c r="P46" s="211"/>
      <c r="Q46" s="211"/>
      <c r="R46" s="211"/>
      <c r="S46" s="211"/>
      <c r="T46" s="211"/>
    </row>
    <row r="47" spans="1:20" ht="18" customHeight="1">
      <c r="A47" s="123"/>
      <c r="B47" s="211"/>
      <c r="C47" s="211"/>
      <c r="D47" s="211"/>
      <c r="E47" s="211"/>
      <c r="F47" s="211"/>
      <c r="G47" s="484"/>
      <c r="H47" s="484"/>
      <c r="I47" s="484"/>
      <c r="J47" s="484"/>
      <c r="K47" s="211"/>
      <c r="L47" s="211"/>
      <c r="M47" s="486"/>
      <c r="N47" s="486"/>
      <c r="O47" s="486"/>
      <c r="P47" s="211"/>
      <c r="Q47" s="211"/>
      <c r="R47" s="211"/>
      <c r="S47" s="211"/>
      <c r="T47" s="211"/>
    </row>
    <row r="48" spans="1:20" ht="18" customHeight="1">
      <c r="A48" s="123"/>
      <c r="B48" s="123"/>
      <c r="C48" s="123"/>
      <c r="D48" s="123"/>
      <c r="E48" s="123"/>
      <c r="F48" s="123"/>
      <c r="G48" s="123"/>
      <c r="H48" s="27"/>
      <c r="I48" s="27"/>
      <c r="J48" s="27"/>
      <c r="K48" s="27"/>
      <c r="L48" s="27"/>
      <c r="M48" s="249"/>
      <c r="N48" s="249"/>
      <c r="O48" s="249"/>
      <c r="P48" s="211"/>
      <c r="Q48" s="211"/>
      <c r="R48" s="211"/>
      <c r="S48" s="211"/>
      <c r="T48" s="211"/>
    </row>
    <row r="49" spans="1:20" ht="18" customHeight="1">
      <c r="A49" s="123"/>
      <c r="B49" s="123"/>
      <c r="C49" s="123"/>
      <c r="D49" s="123"/>
      <c r="E49" s="123"/>
      <c r="F49" s="123"/>
      <c r="G49" s="123"/>
      <c r="H49" s="27"/>
      <c r="I49" s="27"/>
      <c r="J49" s="27"/>
      <c r="K49" s="27"/>
      <c r="L49" s="27"/>
      <c r="M49" s="27"/>
      <c r="N49" s="27"/>
      <c r="O49" s="27"/>
      <c r="P49" s="211"/>
      <c r="Q49" s="211"/>
      <c r="R49" s="211"/>
      <c r="S49" s="211"/>
      <c r="T49" s="211"/>
    </row>
    <row r="50" spans="1:20" ht="18" customHeight="1">
      <c r="A50" s="123"/>
      <c r="B50" s="123"/>
      <c r="C50" s="123"/>
      <c r="D50" s="123"/>
      <c r="E50" s="123"/>
      <c r="F50" s="123"/>
      <c r="G50" s="123"/>
      <c r="H50" s="27"/>
      <c r="I50" s="27"/>
      <c r="J50" s="27"/>
      <c r="K50" s="27"/>
      <c r="L50" s="27"/>
      <c r="M50" s="27"/>
      <c r="N50" s="27"/>
      <c r="O50" s="27"/>
      <c r="P50" s="211"/>
      <c r="Q50" s="211"/>
      <c r="R50" s="211"/>
      <c r="S50" s="211"/>
      <c r="T50" s="211"/>
    </row>
    <row r="51" spans="1:20" ht="18" customHeight="1">
      <c r="A51" s="123"/>
      <c r="B51" s="123"/>
      <c r="C51" s="123"/>
      <c r="D51" s="123"/>
      <c r="E51" s="123"/>
      <c r="F51" s="123"/>
      <c r="G51" s="123"/>
      <c r="H51" s="27"/>
      <c r="I51" s="27"/>
      <c r="J51" s="27"/>
      <c r="K51" s="27"/>
      <c r="L51" s="27"/>
      <c r="M51" s="27"/>
      <c r="N51" s="27"/>
      <c r="O51" s="27"/>
      <c r="P51" s="211"/>
      <c r="Q51" s="211"/>
      <c r="R51" s="211"/>
      <c r="S51" s="211"/>
      <c r="T51" s="211"/>
    </row>
    <row r="52" spans="1:20" ht="18" customHeight="1">
      <c r="A52" s="123"/>
      <c r="B52" s="123"/>
      <c r="C52" s="211"/>
      <c r="D52" s="211"/>
      <c r="E52" s="211"/>
      <c r="F52" s="486"/>
      <c r="G52" s="486"/>
      <c r="H52" s="211"/>
      <c r="I52" s="211"/>
      <c r="J52" s="211"/>
      <c r="K52" s="27"/>
      <c r="L52" s="27"/>
      <c r="M52" s="248"/>
      <c r="N52" s="248"/>
      <c r="O52" s="248"/>
      <c r="P52" s="211"/>
      <c r="Q52" s="211"/>
      <c r="R52" s="211"/>
      <c r="S52" s="211"/>
      <c r="T52" s="211"/>
    </row>
    <row r="53" spans="1:20" ht="18" customHeight="1">
      <c r="A53" s="123"/>
      <c r="B53" s="123"/>
      <c r="C53" s="211"/>
      <c r="D53" s="211"/>
      <c r="E53" s="211"/>
      <c r="F53" s="486"/>
      <c r="G53" s="486"/>
      <c r="H53" s="211"/>
      <c r="I53" s="211"/>
      <c r="J53" s="211"/>
      <c r="K53" s="27"/>
      <c r="L53" s="27"/>
      <c r="M53" s="248"/>
      <c r="N53" s="248"/>
      <c r="O53" s="248"/>
      <c r="P53" s="211"/>
      <c r="Q53" s="211"/>
      <c r="R53" s="211"/>
      <c r="S53" s="211"/>
      <c r="T53" s="211"/>
    </row>
    <row r="54" spans="1:20" ht="18" customHeight="1">
      <c r="A54" s="123"/>
      <c r="B54" s="248"/>
      <c r="C54" s="211"/>
      <c r="D54" s="211"/>
      <c r="E54" s="211"/>
      <c r="F54" s="486"/>
      <c r="G54" s="486"/>
      <c r="H54" s="211"/>
      <c r="I54" s="211"/>
      <c r="J54" s="211"/>
      <c r="K54" s="27"/>
      <c r="L54" s="27"/>
      <c r="M54" s="27"/>
      <c r="N54" s="27"/>
      <c r="O54" s="27"/>
      <c r="P54" s="211"/>
      <c r="Q54" s="211"/>
      <c r="R54" s="211"/>
      <c r="S54" s="211"/>
      <c r="T54" s="211"/>
    </row>
    <row r="55" spans="1:20" ht="18" customHeight="1">
      <c r="A55" s="211"/>
      <c r="B55" s="248"/>
      <c r="C55" s="211"/>
      <c r="D55" s="211"/>
      <c r="E55" s="211"/>
      <c r="F55" s="486"/>
      <c r="G55" s="486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</row>
    <row r="56" spans="1:20" ht="18" customHeight="1">
      <c r="A56" s="211"/>
      <c r="B56" s="211"/>
      <c r="C56" s="211"/>
      <c r="D56" s="211"/>
      <c r="E56" s="211"/>
      <c r="F56" s="486"/>
      <c r="G56" s="486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</row>
    <row r="57" spans="1:20" ht="18" customHeight="1">
      <c r="A57" s="211"/>
      <c r="B57" s="211"/>
      <c r="C57" s="211"/>
      <c r="D57" s="211"/>
      <c r="E57" s="211"/>
      <c r="F57" s="486"/>
      <c r="G57" s="486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</row>
    <row r="58" spans="1:20" ht="18" customHeight="1">
      <c r="A58" s="211"/>
      <c r="B58" s="211"/>
      <c r="C58" s="211"/>
      <c r="D58" s="211"/>
      <c r="E58" s="211"/>
      <c r="F58" s="486"/>
      <c r="G58" s="486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</row>
    <row r="59" spans="1:20" ht="18" customHeight="1">
      <c r="A59" s="211"/>
      <c r="B59" s="211"/>
      <c r="C59" s="211"/>
      <c r="D59" s="211"/>
      <c r="E59" s="211"/>
      <c r="F59" s="486"/>
      <c r="G59" s="486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</row>
    <row r="60" spans="1:20" ht="18" customHeight="1">
      <c r="A60" s="211"/>
      <c r="B60" s="211"/>
      <c r="C60" s="211"/>
      <c r="D60" s="211"/>
      <c r="E60" s="211"/>
      <c r="F60" s="486"/>
      <c r="G60" s="486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</row>
    <row r="61" spans="1:20" ht="18" customHeight="1">
      <c r="A61" s="211"/>
      <c r="B61" s="211"/>
      <c r="C61" s="211"/>
      <c r="D61" s="211"/>
      <c r="E61" s="211"/>
      <c r="F61" s="486"/>
      <c r="G61" s="486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</row>
    <row r="62" spans="1:20" ht="18" customHeight="1">
      <c r="A62" s="211"/>
      <c r="B62" s="211"/>
      <c r="C62" s="211"/>
      <c r="D62" s="211"/>
      <c r="E62" s="211"/>
      <c r="F62" s="486"/>
      <c r="G62" s="486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</row>
    <row r="63" spans="1:20" ht="18" customHeight="1">
      <c r="A63" s="211"/>
      <c r="B63" s="211"/>
      <c r="C63" s="211"/>
      <c r="D63" s="211"/>
      <c r="E63" s="211"/>
      <c r="F63" s="486"/>
      <c r="G63" s="486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</row>
    <row r="64" spans="1:20" ht="18" customHeight="1">
      <c r="A64" s="211"/>
      <c r="B64" s="211"/>
      <c r="C64" s="211"/>
      <c r="D64" s="211"/>
      <c r="E64" s="211"/>
      <c r="F64" s="486"/>
      <c r="G64" s="486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</row>
    <row r="65" spans="1:20" ht="18" customHeight="1">
      <c r="A65" s="211"/>
      <c r="B65" s="211"/>
      <c r="C65" s="211"/>
      <c r="D65" s="211"/>
      <c r="E65" s="211"/>
      <c r="F65" s="486"/>
      <c r="G65" s="486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</row>
    <row r="66" spans="1:20" ht="18" customHeight="1">
      <c r="A66" s="211"/>
      <c r="B66" s="211"/>
      <c r="C66" s="211"/>
      <c r="D66" s="211"/>
      <c r="E66" s="211"/>
      <c r="F66" s="486"/>
      <c r="G66" s="486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</row>
    <row r="67" spans="1:20" ht="18" customHeight="1">
      <c r="A67" s="211"/>
      <c r="B67" s="211"/>
      <c r="C67" s="211"/>
      <c r="D67" s="211"/>
      <c r="E67" s="211"/>
      <c r="F67" s="486"/>
      <c r="G67" s="486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</row>
    <row r="68" spans="1:20" ht="18" customHeight="1">
      <c r="A68" s="211"/>
      <c r="B68" s="211"/>
      <c r="C68" s="211"/>
      <c r="D68" s="211"/>
      <c r="E68" s="211"/>
      <c r="F68" s="486"/>
      <c r="G68" s="486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</row>
    <row r="69" spans="1:20" ht="18" customHeight="1">
      <c r="A69" s="211"/>
      <c r="B69" s="211"/>
      <c r="C69" s="211"/>
      <c r="D69" s="211"/>
      <c r="E69" s="211"/>
      <c r="F69" s="486"/>
      <c r="G69" s="486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</row>
    <row r="70" spans="1:20">
      <c r="A70" s="211"/>
      <c r="B70" s="211"/>
      <c r="C70" s="211"/>
      <c r="D70" s="211"/>
      <c r="E70" s="211"/>
      <c r="F70" s="486"/>
      <c r="G70" s="486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</row>
    <row r="71" spans="1:20">
      <c r="A71" s="211"/>
      <c r="B71" s="211"/>
      <c r="C71" s="211"/>
      <c r="D71" s="211"/>
      <c r="E71" s="211"/>
      <c r="F71" s="486"/>
      <c r="G71" s="486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</row>
    <row r="72" spans="1:20">
      <c r="A72" s="211"/>
      <c r="B72" s="211"/>
      <c r="C72" s="211"/>
      <c r="D72" s="211"/>
      <c r="E72" s="211"/>
      <c r="F72" s="486"/>
      <c r="G72" s="486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</row>
  </sheetData>
  <mergeCells count="29">
    <mergeCell ref="N5:O5"/>
    <mergeCell ref="P5:Q5"/>
    <mergeCell ref="N11:O11"/>
    <mergeCell ref="P11:Q11"/>
    <mergeCell ref="A20:B20"/>
    <mergeCell ref="C20:F20"/>
    <mergeCell ref="A14:B17"/>
    <mergeCell ref="C14:D14"/>
    <mergeCell ref="C15:D15"/>
    <mergeCell ref="E14:F14"/>
    <mergeCell ref="A18:M18"/>
    <mergeCell ref="E15:F15"/>
    <mergeCell ref="E17:F17"/>
    <mergeCell ref="A19:B19"/>
    <mergeCell ref="C19:F19"/>
    <mergeCell ref="C17:D17"/>
    <mergeCell ref="H5:J5"/>
    <mergeCell ref="K5:L5"/>
    <mergeCell ref="H11:J11"/>
    <mergeCell ref="K11:L11"/>
    <mergeCell ref="A5:C6"/>
    <mergeCell ref="D5:D6"/>
    <mergeCell ref="E5:E6"/>
    <mergeCell ref="G11:G13"/>
    <mergeCell ref="F5:F6"/>
    <mergeCell ref="A11:B13"/>
    <mergeCell ref="C11:D13"/>
    <mergeCell ref="E11:F13"/>
    <mergeCell ref="A7:C7"/>
  </mergeCells>
  <conditionalFormatting sqref="H22:O23">
    <cfRule type="cellIs" dxfId="26" priority="15" operator="equal">
      <formula>"нет"</formula>
    </cfRule>
  </conditionalFormatting>
  <conditionalFormatting sqref="R21">
    <cfRule type="cellIs" dxfId="25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7" orientation="landscape" useFirstPageNumber="1" r:id="rId1"/>
  <headerFooter>
    <oddFooter>&amp;L&amp;P&amp;R&amp;G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92D050"/>
  </sheetPr>
  <dimension ref="A1:L11"/>
  <sheetViews>
    <sheetView view="pageBreakPreview" zoomScale="85" zoomScaleNormal="70" zoomScaleSheetLayoutView="85" workbookViewId="0">
      <selection activeCell="M22" sqref="M22"/>
    </sheetView>
  </sheetViews>
  <sheetFormatPr defaultRowHeight="15"/>
  <cols>
    <col min="7" max="7" width="11" customWidth="1"/>
    <col min="8" max="8" width="13" customWidth="1"/>
    <col min="9" max="9" width="11.140625" customWidth="1"/>
    <col min="10" max="10" width="13.42578125" customWidth="1"/>
    <col min="11" max="11" width="11.42578125" customWidth="1"/>
    <col min="12" max="12" width="13.42578125" customWidth="1"/>
  </cols>
  <sheetData>
    <row r="1" spans="1:12" ht="18.75">
      <c r="A1" s="11"/>
      <c r="B1" s="2261" t="s">
        <v>307</v>
      </c>
      <c r="C1" s="24"/>
      <c r="D1" s="24"/>
      <c r="E1" s="24"/>
      <c r="F1" s="4"/>
      <c r="G1" s="11"/>
      <c r="H1" s="11"/>
      <c r="I1" s="11"/>
      <c r="J1" s="11"/>
      <c r="K1" s="129"/>
      <c r="L1" s="129"/>
    </row>
    <row r="2" spans="1:12">
      <c r="A2" s="5"/>
      <c r="B2" s="2262"/>
      <c r="C2" s="2262"/>
      <c r="D2" s="2262"/>
      <c r="E2" s="2262"/>
      <c r="F2" s="6"/>
      <c r="G2" s="108"/>
      <c r="H2" s="108"/>
      <c r="I2" s="108"/>
      <c r="J2" s="108"/>
      <c r="K2" s="2262"/>
      <c r="L2" s="2262"/>
    </row>
    <row r="3" spans="1:12" ht="79.5" customHeight="1">
      <c r="A3" s="7"/>
      <c r="B3" s="752"/>
      <c r="C3" s="752"/>
      <c r="D3" s="752"/>
      <c r="E3" s="752"/>
      <c r="F3" s="8"/>
      <c r="G3" s="108"/>
      <c r="H3" s="61"/>
      <c r="I3" s="61"/>
      <c r="J3" s="61"/>
      <c r="K3" s="60"/>
      <c r="L3" s="60"/>
    </row>
    <row r="4" spans="1:12">
      <c r="A4" s="2262"/>
      <c r="B4" s="49" t="s">
        <v>306</v>
      </c>
      <c r="C4" s="2262"/>
      <c r="D4" s="2262"/>
      <c r="E4" s="2262"/>
      <c r="F4" s="6"/>
      <c r="G4" s="471"/>
      <c r="H4" s="471"/>
      <c r="I4" s="471"/>
      <c r="J4" s="471"/>
      <c r="K4" s="3"/>
      <c r="L4" s="3"/>
    </row>
    <row r="5" spans="1:12">
      <c r="A5" s="3204" t="s">
        <v>1</v>
      </c>
      <c r="B5" s="3204"/>
      <c r="C5" s="3204"/>
      <c r="D5" s="3204" t="s">
        <v>39</v>
      </c>
      <c r="E5" s="3204" t="s">
        <v>44</v>
      </c>
      <c r="F5" s="3204" t="s">
        <v>7</v>
      </c>
      <c r="G5" s="3137" t="s">
        <v>2080</v>
      </c>
      <c r="H5" s="3203"/>
      <c r="I5" s="3203" t="s">
        <v>2081</v>
      </c>
      <c r="J5" s="3138"/>
      <c r="K5" s="3143" t="s">
        <v>2082</v>
      </c>
      <c r="L5" s="3143"/>
    </row>
    <row r="6" spans="1:12" s="471" customFormat="1">
      <c r="A6" s="3205"/>
      <c r="B6" s="3205"/>
      <c r="C6" s="3205"/>
      <c r="D6" s="3205"/>
      <c r="E6" s="3205"/>
      <c r="F6" s="3205"/>
      <c r="G6" s="2260" t="s">
        <v>20</v>
      </c>
      <c r="H6" s="719" t="s">
        <v>21</v>
      </c>
      <c r="I6" s="2260" t="s">
        <v>20</v>
      </c>
      <c r="J6" s="719" t="s">
        <v>21</v>
      </c>
      <c r="K6" s="2260" t="s">
        <v>20</v>
      </c>
      <c r="L6" s="719" t="s">
        <v>21</v>
      </c>
    </row>
    <row r="7" spans="1:12" ht="28.5" customHeight="1">
      <c r="A7" s="3204"/>
      <c r="B7" s="3204"/>
      <c r="C7" s="3204"/>
      <c r="D7" s="3204"/>
      <c r="E7" s="3204"/>
      <c r="F7" s="3204"/>
      <c r="G7" s="2260" t="s">
        <v>4</v>
      </c>
      <c r="H7" s="719" t="s">
        <v>2291</v>
      </c>
      <c r="I7" s="2260" t="s">
        <v>20</v>
      </c>
      <c r="J7" s="719" t="s">
        <v>2291</v>
      </c>
      <c r="K7" s="2260" t="s">
        <v>20</v>
      </c>
      <c r="L7" s="719" t="s">
        <v>2291</v>
      </c>
    </row>
    <row r="8" spans="1:12" ht="36">
      <c r="A8" s="2830" t="s">
        <v>1952</v>
      </c>
      <c r="B8" s="2830"/>
      <c r="C8" s="2830"/>
      <c r="D8" s="2045" t="s">
        <v>1953</v>
      </c>
      <c r="E8" s="2258" t="s">
        <v>42</v>
      </c>
      <c r="F8" s="2259" t="s">
        <v>0</v>
      </c>
      <c r="G8" s="2059">
        <f>'Полотна база'!X9*(1+скидки_наценки!$B$30)*скидки_наценки!$D$13*скидки_наценки!$F$13/скидки_наценки!$B$4</f>
        <v>27300</v>
      </c>
      <c r="H8" s="2059">
        <f>'Полотна база'!AA9*(1+скидки_наценки!$B$30)*скидки_наценки!$D$13*скидки_наценки!$F$13/скидки_наценки!$B$4</f>
        <v>37800</v>
      </c>
      <c r="I8" s="2059">
        <f>'Полотна база'!X9*(1+скидки_наценки!$B$30)*скидки_наценки!$D$13*скидки_наценки!$F$13/скидки_наценки!$B$4</f>
        <v>27300</v>
      </c>
      <c r="J8" s="2059">
        <f>'Полотна база'!AA9*(1+скидки_наценки!$B$30)*скидки_наценки!$D$13*скидки_наценки!$F$13/скидки_наценки!$B$4</f>
        <v>37800</v>
      </c>
      <c r="K8" s="2059">
        <f>'Полотна база'!X9*(1+скидки_наценки!$B$30)*скидки_наценки!$D$13*скидки_наценки!$F$13/скидки_наценки!$B$4</f>
        <v>27300</v>
      </c>
      <c r="L8" s="2059">
        <f>'Полотна база'!AA9*(1+скидки_наценки!$B$30)*скидки_наценки!$D$13*скидки_наценки!$F$13/скидки_наценки!$B$4</f>
        <v>37800</v>
      </c>
    </row>
    <row r="9" spans="1:12">
      <c r="A9" s="471"/>
      <c r="B9" s="471"/>
      <c r="C9" s="471"/>
      <c r="D9" s="471"/>
      <c r="E9" s="471"/>
      <c r="F9" s="471"/>
      <c r="G9" s="471"/>
      <c r="H9" s="471"/>
      <c r="I9" s="471"/>
      <c r="J9" s="471"/>
      <c r="K9" s="61"/>
      <c r="L9" s="61"/>
    </row>
    <row r="10" spans="1:12">
      <c r="A10" s="471"/>
      <c r="B10" s="471"/>
      <c r="C10" s="471"/>
      <c r="D10" s="471"/>
      <c r="E10" s="471"/>
      <c r="F10" s="471"/>
      <c r="G10" s="471"/>
      <c r="H10" s="471"/>
      <c r="I10" s="471"/>
      <c r="J10" s="471"/>
      <c r="K10" s="61"/>
      <c r="L10" s="61"/>
    </row>
    <row r="11" spans="1:12">
      <c r="A11" s="22"/>
      <c r="B11" s="372"/>
      <c r="C11" s="176"/>
      <c r="D11" s="176"/>
      <c r="E11" s="176"/>
      <c r="F11" s="22"/>
      <c r="G11" s="175"/>
      <c r="H11" s="177"/>
      <c r="I11" s="177"/>
      <c r="J11" s="177"/>
      <c r="K11" s="14"/>
      <c r="L11" s="14"/>
    </row>
  </sheetData>
  <mergeCells count="8">
    <mergeCell ref="K5:L5"/>
    <mergeCell ref="G5:H5"/>
    <mergeCell ref="I5:J5"/>
    <mergeCell ref="A8:C8"/>
    <mergeCell ref="A5:C7"/>
    <mergeCell ref="D5:D7"/>
    <mergeCell ref="E5:E7"/>
    <mergeCell ref="F5:F7"/>
  </mergeCells>
  <hyperlinks>
    <hyperlink ref="B1" location="Содержание!A1" display="Вернуться в содержание"/>
  </hyperlinks>
  <pageMargins left="0.7" right="0.7" top="0.75" bottom="0.75" header="0.3" footer="0.3"/>
  <pageSetup paperSize="9" orientation="portrait" r:id="rId1"/>
  <ignoredErrors>
    <ignoredError sqref="H8 J8" formula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12">
    <tabColor rgb="FF92D050"/>
  </sheetPr>
  <dimension ref="A1:P43"/>
  <sheetViews>
    <sheetView view="pageBreakPreview" zoomScale="80" zoomScaleNormal="8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M25" sqref="M25"/>
    </sheetView>
  </sheetViews>
  <sheetFormatPr defaultColWidth="8.85546875" defaultRowHeight="15"/>
  <cols>
    <col min="1" max="1" width="4.7109375" style="19" customWidth="1"/>
    <col min="2" max="5" width="11.7109375" style="19" customWidth="1"/>
    <col min="6" max="6" width="11.7109375" style="2" customWidth="1"/>
    <col min="7" max="7" width="20.7109375" style="2" customWidth="1"/>
    <col min="8" max="10" width="25.7109375" style="131" customWidth="1"/>
    <col min="11" max="12" width="20.7109375" style="19" customWidth="1"/>
    <col min="13" max="16384" width="8.85546875" style="19"/>
  </cols>
  <sheetData>
    <row r="1" spans="1:16" s="11" customFormat="1" ht="18" customHeight="1">
      <c r="B1" s="3243" t="s">
        <v>307</v>
      </c>
      <c r="C1" s="3243"/>
      <c r="D1" s="3243"/>
      <c r="E1" s="3243"/>
      <c r="F1" s="3243"/>
      <c r="G1" s="3243"/>
      <c r="H1" s="3243"/>
      <c r="I1" s="3243"/>
      <c r="J1" s="3243"/>
      <c r="K1" s="3243"/>
    </row>
    <row r="2" spans="1:16">
      <c r="A2" s="5"/>
      <c r="B2" s="21"/>
      <c r="C2" s="21"/>
      <c r="D2" s="21"/>
      <c r="E2" s="21"/>
      <c r="F2" s="423"/>
      <c r="G2" s="258"/>
      <c r="H2" s="13"/>
      <c r="I2" s="13"/>
      <c r="J2" s="13"/>
      <c r="K2" s="23"/>
      <c r="L2" s="23"/>
      <c r="M2" s="23"/>
      <c r="N2" s="23"/>
      <c r="O2" s="23"/>
      <c r="P2" s="23"/>
    </row>
    <row r="3" spans="1:16" ht="90" customHeight="1">
      <c r="A3" s="7"/>
      <c r="B3" s="752"/>
      <c r="C3" s="752"/>
      <c r="D3" s="752"/>
      <c r="E3" s="752"/>
      <c r="F3" s="8"/>
      <c r="G3" s="108"/>
      <c r="H3" s="132"/>
      <c r="I3" s="132"/>
      <c r="J3" s="132"/>
    </row>
    <row r="4" spans="1:16">
      <c r="A4" s="121"/>
      <c r="B4" s="49" t="s">
        <v>306</v>
      </c>
      <c r="C4" s="121"/>
      <c r="D4" s="121"/>
      <c r="E4" s="121"/>
      <c r="F4" s="6"/>
      <c r="G4" s="256"/>
      <c r="H4" s="3"/>
      <c r="I4" s="3"/>
      <c r="J4" s="3"/>
      <c r="K4" s="120"/>
    </row>
    <row r="5" spans="1:16" s="471" customFormat="1" ht="17.100000000000001" customHeight="1">
      <c r="A5" s="2879" t="s">
        <v>1</v>
      </c>
      <c r="B5" s="2879"/>
      <c r="C5" s="2879"/>
      <c r="D5" s="2879" t="s">
        <v>39</v>
      </c>
      <c r="E5" s="2879" t="s">
        <v>44</v>
      </c>
      <c r="F5" s="2879" t="s">
        <v>7</v>
      </c>
      <c r="G5" s="1995" t="s">
        <v>223</v>
      </c>
      <c r="H5" s="1995" t="s">
        <v>1204</v>
      </c>
      <c r="I5" s="1995" t="s">
        <v>1204</v>
      </c>
      <c r="J5" s="1995" t="s">
        <v>703</v>
      </c>
      <c r="K5" s="1995" t="s">
        <v>1539</v>
      </c>
    </row>
    <row r="6" spans="1:16" s="471" customFormat="1" ht="17.100000000000001" customHeight="1">
      <c r="A6" s="2879"/>
      <c r="B6" s="2879"/>
      <c r="C6" s="2879"/>
      <c r="D6" s="2879"/>
      <c r="E6" s="2879"/>
      <c r="F6" s="3244"/>
      <c r="G6" s="1554" t="s">
        <v>20</v>
      </c>
      <c r="H6" s="1554" t="s">
        <v>21</v>
      </c>
      <c r="I6" s="1554" t="s">
        <v>22</v>
      </c>
      <c r="J6" s="1554" t="s">
        <v>1066</v>
      </c>
      <c r="K6" s="2002" t="s">
        <v>21</v>
      </c>
    </row>
    <row r="7" spans="1:16" s="60" customFormat="1" ht="38.25" customHeight="1">
      <c r="A7" s="3239" t="s">
        <v>28</v>
      </c>
      <c r="B7" s="2932" t="s">
        <v>1205</v>
      </c>
      <c r="C7" s="3208"/>
      <c r="D7" s="2028" t="s">
        <v>1953</v>
      </c>
      <c r="E7" s="2028" t="s">
        <v>42</v>
      </c>
      <c r="F7" s="2003" t="s">
        <v>0</v>
      </c>
      <c r="G7" s="1133">
        <f>'Полотна база'!AT9*(1+скидки_наценки!$B$30)*скидки_наценки!$D$13*скидки_наценки!$F$13/скидки_наценки!$B$4</f>
        <v>40000</v>
      </c>
      <c r="H7" s="1133" t="s">
        <v>3</v>
      </c>
      <c r="I7" s="1133" t="s">
        <v>3</v>
      </c>
      <c r="J7" s="2170" t="s">
        <v>3</v>
      </c>
      <c r="K7" s="1134" t="s">
        <v>3</v>
      </c>
    </row>
    <row r="8" spans="1:16" s="60" customFormat="1" ht="38.25" customHeight="1">
      <c r="A8" s="3240"/>
      <c r="B8" s="2931" t="s">
        <v>1206</v>
      </c>
      <c r="C8" s="3112"/>
      <c r="D8" s="2026" t="s">
        <v>1953</v>
      </c>
      <c r="E8" s="2026" t="s">
        <v>42</v>
      </c>
      <c r="F8" s="1996" t="s">
        <v>0</v>
      </c>
      <c r="G8" s="1132" t="s">
        <v>3</v>
      </c>
      <c r="H8" s="1132">
        <f>'Полотна база'!AW9*(1+скидки_наценки!$B$30)*скидки_наценки!$D$13*скидки_наценки!$F$13/скидки_наценки!$B$4</f>
        <v>48750</v>
      </c>
      <c r="I8" s="1132">
        <f>'Полотна база'!AW9*(1+скидки_наценки!$B$30)*скидки_наценки!$D$13*скидки_наценки!$F$13/скидки_наценки!$B$4</f>
        <v>48750</v>
      </c>
      <c r="J8" s="1132">
        <f>'Полотна база'!AW9*(1+скидки_наценки!$B$30)*скидки_наценки!$D$13*скидки_наценки!$F$13/скидки_наценки!$B$4</f>
        <v>48750</v>
      </c>
      <c r="K8" s="1132">
        <f>'Полотна база'!AZ9*(1+скидки_наценки!$B$30)*скидки_наценки!$D$15*скидки_наценки!$F$15/скидки_наценки!$B$4</f>
        <v>64900</v>
      </c>
    </row>
    <row r="9" spans="1:16" s="60" customFormat="1" ht="38.25" customHeight="1">
      <c r="A9" s="3240"/>
      <c r="B9" s="2932" t="s">
        <v>1207</v>
      </c>
      <c r="C9" s="3208"/>
      <c r="D9" s="2028" t="s">
        <v>1953</v>
      </c>
      <c r="E9" s="2028" t="s">
        <v>42</v>
      </c>
      <c r="F9" s="2003" t="s">
        <v>0</v>
      </c>
      <c r="G9" s="1133" t="s">
        <v>3</v>
      </c>
      <c r="H9" s="1133">
        <f>'Полотна база'!AY9*(1+скидки_наценки!$B$30)*скидки_наценки!$D$13*скидки_наценки!$F$13/скидки_наценки!$B$4</f>
        <v>64900</v>
      </c>
      <c r="I9" s="1133">
        <f>'Полотна база'!AY9*(1+скидки_наценки!$B$30)*скидки_наценки!$D$13*скидки_наценки!$F$13/скидки_наценки!$B$4</f>
        <v>64900</v>
      </c>
      <c r="J9" s="1133">
        <f>'Полотна база'!AY9*(1+скидки_наценки!$B$30)*скидки_наценки!$D$13*скидки_наценки!$F$13/скидки_наценки!$B$4</f>
        <v>64900</v>
      </c>
      <c r="K9" s="2246" t="s">
        <v>3</v>
      </c>
      <c r="L9" s="1168"/>
    </row>
    <row r="10" spans="1:16" s="60" customFormat="1" ht="38.25" customHeight="1">
      <c r="A10" s="3240"/>
      <c r="B10" s="2931" t="s">
        <v>1945</v>
      </c>
      <c r="C10" s="3112"/>
      <c r="D10" s="2026" t="s">
        <v>1953</v>
      </c>
      <c r="E10" s="2026" t="s">
        <v>42</v>
      </c>
      <c r="F10" s="2004" t="s">
        <v>0</v>
      </c>
      <c r="G10" s="1132" t="s">
        <v>3</v>
      </c>
      <c r="H10" s="1132">
        <f>H9*1.1</f>
        <v>71390</v>
      </c>
      <c r="I10" s="1132">
        <f t="shared" ref="I10:J10" si="0">I9*1.1</f>
        <v>71390</v>
      </c>
      <c r="J10" s="1132">
        <f t="shared" si="0"/>
        <v>71390</v>
      </c>
      <c r="K10" s="2247" t="s">
        <v>3</v>
      </c>
      <c r="L10" s="1168"/>
    </row>
    <row r="11" spans="1:16" s="9" customFormat="1">
      <c r="A11" s="471"/>
      <c r="B11" s="471"/>
      <c r="C11" s="471"/>
      <c r="D11" s="471"/>
      <c r="E11" s="471"/>
      <c r="F11" s="471"/>
      <c r="G11" s="471"/>
      <c r="H11" s="61"/>
      <c r="I11" s="61"/>
      <c r="J11" s="165"/>
      <c r="K11" s="108"/>
      <c r="L11" s="359"/>
      <c r="M11" s="359"/>
      <c r="N11" s="359"/>
    </row>
    <row r="12" spans="1:16" s="471" customFormat="1">
      <c r="A12" s="1999"/>
      <c r="B12" s="17" t="s">
        <v>24</v>
      </c>
      <c r="C12" s="1999"/>
      <c r="D12" s="1999"/>
      <c r="E12" s="1999"/>
      <c r="F12" s="6"/>
      <c r="G12" s="6"/>
      <c r="H12" s="1999"/>
      <c r="I12" s="1999"/>
      <c r="J12" s="1999"/>
      <c r="K12" s="1999"/>
    </row>
    <row r="13" spans="1:16" s="471" customFormat="1" ht="12" customHeight="1">
      <c r="A13" s="2884" t="s">
        <v>36</v>
      </c>
      <c r="B13" s="2884"/>
      <c r="C13" s="2884" t="s">
        <v>33</v>
      </c>
      <c r="D13" s="2884"/>
      <c r="E13" s="3241" t="s">
        <v>37</v>
      </c>
      <c r="F13" s="3012"/>
      <c r="G13" s="3235" t="str">
        <f>G5</f>
        <v>Amelia</v>
      </c>
      <c r="H13" s="2005" t="str">
        <f>H5</f>
        <v>Amelia8/10/12</v>
      </c>
      <c r="I13" s="2005" t="str">
        <f>I5</f>
        <v>Amelia8/10/12</v>
      </c>
      <c r="J13" s="2005" t="str">
        <f>J5</f>
        <v>Amelia10</v>
      </c>
      <c r="K13" s="2005" t="str">
        <f>K5</f>
        <v xml:space="preserve">AmeliaArc1* </v>
      </c>
    </row>
    <row r="14" spans="1:16" s="471" customFormat="1" ht="12" customHeight="1">
      <c r="A14" s="2884"/>
      <c r="B14" s="2884"/>
      <c r="C14" s="2884"/>
      <c r="D14" s="2884"/>
      <c r="E14" s="3126"/>
      <c r="F14" s="3242"/>
      <c r="G14" s="3236"/>
      <c r="H14" s="2006" t="str">
        <f>H6</f>
        <v>ДО</v>
      </c>
      <c r="I14" s="2006" t="str">
        <f>I6</f>
        <v>ДГО</v>
      </c>
      <c r="J14" s="2006" t="str">
        <f>J6</f>
        <v>ДГО2</v>
      </c>
      <c r="K14" s="2006" t="str">
        <f>K6</f>
        <v>ДО</v>
      </c>
    </row>
    <row r="15" spans="1:16" s="471" customFormat="1" ht="12" customHeight="1">
      <c r="A15" s="2884"/>
      <c r="B15" s="2884"/>
      <c r="C15" s="2884"/>
      <c r="D15" s="2884"/>
      <c r="E15" s="3014"/>
      <c r="F15" s="3015"/>
      <c r="G15" s="3237"/>
      <c r="H15" s="2007" t="s">
        <v>176</v>
      </c>
      <c r="I15" s="2008" t="s">
        <v>176</v>
      </c>
      <c r="J15" s="2008" t="s">
        <v>176</v>
      </c>
      <c r="K15" s="2008" t="s">
        <v>176</v>
      </c>
    </row>
    <row r="16" spans="1:16" s="471" customFormat="1" ht="19.899999999999999" customHeight="1">
      <c r="A16" s="3238" t="s">
        <v>30</v>
      </c>
      <c r="B16" s="3191"/>
      <c r="C16" s="2922" t="s">
        <v>29</v>
      </c>
      <c r="D16" s="2924"/>
      <c r="E16" s="2922" t="s">
        <v>170</v>
      </c>
      <c r="F16" s="2923"/>
      <c r="G16" s="277" t="s">
        <v>3</v>
      </c>
      <c r="H16" s="1106" t="s">
        <v>1192</v>
      </c>
      <c r="I16" s="1106" t="s">
        <v>1192</v>
      </c>
      <c r="J16" s="1106" t="s">
        <v>1192</v>
      </c>
      <c r="K16" s="1106" t="s">
        <v>1192</v>
      </c>
      <c r="L16" s="1135"/>
    </row>
    <row r="17" spans="1:14" s="471" customFormat="1" ht="23.25" customHeight="1">
      <c r="A17" s="3038"/>
      <c r="B17" s="3192"/>
      <c r="C17" s="2917" t="s">
        <v>1541</v>
      </c>
      <c r="D17" s="2918"/>
      <c r="E17" s="2917" t="s">
        <v>171</v>
      </c>
      <c r="F17" s="3199"/>
      <c r="G17" s="1997" t="s">
        <v>3</v>
      </c>
      <c r="H17" s="1105" t="s">
        <v>1192</v>
      </c>
      <c r="I17" s="1192" t="str">
        <f>I19</f>
        <v>˅</v>
      </c>
      <c r="J17" s="1192" t="str">
        <f>J19</f>
        <v>˅</v>
      </c>
      <c r="K17" s="1192" t="s">
        <v>1192</v>
      </c>
      <c r="L17" s="1135"/>
    </row>
    <row r="18" spans="1:14" s="471" customFormat="1" ht="19.899999999999999" customHeight="1">
      <c r="A18" s="3238" t="s">
        <v>175</v>
      </c>
      <c r="B18" s="3191"/>
      <c r="C18" s="2922" t="s">
        <v>41</v>
      </c>
      <c r="D18" s="2924"/>
      <c r="E18" s="2922" t="s">
        <v>170</v>
      </c>
      <c r="F18" s="2923"/>
      <c r="G18" s="1344" t="s">
        <v>3</v>
      </c>
      <c r="H18" s="2009"/>
      <c r="I18" s="2009"/>
      <c r="J18" s="2009"/>
      <c r="K18" s="2009">
        <f>IFERROR(IF(HLOOKUP(K$13,#REF!,MATCH(CONCATENATE($A18,"_",$C18),#REF!,0),0)="V","V",HLOOKUP(K$13,#REF!,MATCH(CONCATENATE($A18,"_",$C18),#REF!,0),0)*[2]скидки_наценки!$D$13*[2]скидки_наценки!$F$13),0)</f>
        <v>0</v>
      </c>
      <c r="L18" s="1135"/>
    </row>
    <row r="19" spans="1:14" s="22" customFormat="1" ht="27" customHeight="1">
      <c r="A19" s="3038"/>
      <c r="B19" s="3192"/>
      <c r="C19" s="2917" t="s">
        <v>1541</v>
      </c>
      <c r="D19" s="2918"/>
      <c r="E19" s="2917" t="s">
        <v>171</v>
      </c>
      <c r="F19" s="3199"/>
      <c r="G19" s="1997" t="s">
        <v>3</v>
      </c>
      <c r="H19" s="1105" t="s">
        <v>1192</v>
      </c>
      <c r="I19" s="1105" t="s">
        <v>1192</v>
      </c>
      <c r="J19" s="1105" t="s">
        <v>1192</v>
      </c>
      <c r="K19" s="1211">
        <f>IFERROR(IF(HLOOKUP(K$13,#REF!,MATCH(CONCATENATE($A18,"_",$C19),#REF!,0),0)="V","V",HLOOKUP(K$13,#REF!,MATCH(CONCATENATE($A18,"_",$C19),#REF!,0),0)*[2]скидки_наценки!$D$13*[2]скидки_наценки!$F$13),0)</f>
        <v>0</v>
      </c>
      <c r="L19" s="1135"/>
    </row>
    <row r="20" spans="1:14" s="22" customFormat="1" ht="15" customHeight="1">
      <c r="A20" s="3227" t="s">
        <v>172</v>
      </c>
      <c r="B20" s="3228"/>
      <c r="C20" s="3228"/>
      <c r="D20" s="3228"/>
      <c r="E20" s="3228"/>
      <c r="F20" s="3228"/>
      <c r="G20" s="3228"/>
      <c r="H20" s="3228"/>
      <c r="I20" s="3228"/>
      <c r="J20" s="3228"/>
      <c r="K20" s="3228"/>
      <c r="L20" s="1135"/>
    </row>
    <row r="21" spans="1:14" s="22" customFormat="1" ht="19.899999999999999" customHeight="1">
      <c r="A21" s="3229" t="s">
        <v>178</v>
      </c>
      <c r="B21" s="3229"/>
      <c r="C21" s="3230" t="s">
        <v>304</v>
      </c>
      <c r="D21" s="3231"/>
      <c r="E21" s="3231"/>
      <c r="F21" s="3231"/>
      <c r="G21" s="1907" t="s">
        <v>3</v>
      </c>
      <c r="H21" s="1907">
        <f>Стекла_база!N79</f>
        <v>750</v>
      </c>
      <c r="I21" s="1907">
        <f>Стекла_база!N79</f>
        <v>750</v>
      </c>
      <c r="J21" s="1907">
        <f>Стекла_база!N79</f>
        <v>750</v>
      </c>
      <c r="K21" s="1907">
        <f>Стекла_база!N79</f>
        <v>750</v>
      </c>
      <c r="L21" s="1135"/>
    </row>
    <row r="22" spans="1:14" s="22" customFormat="1" ht="40.15" customHeight="1">
      <c r="A22" s="3232" t="s">
        <v>234</v>
      </c>
      <c r="B22" s="3233"/>
      <c r="C22" s="3232" t="s">
        <v>305</v>
      </c>
      <c r="D22" s="3234"/>
      <c r="E22" s="3234"/>
      <c r="F22" s="3234"/>
      <c r="G22" s="2010" t="s">
        <v>3</v>
      </c>
      <c r="H22" s="2010" t="s">
        <v>3</v>
      </c>
      <c r="I22" s="2010" t="s">
        <v>3</v>
      </c>
      <c r="J22" s="2010" t="s">
        <v>3</v>
      </c>
      <c r="K22" s="2010" t="s">
        <v>3</v>
      </c>
      <c r="L22" s="1135"/>
    </row>
    <row r="23" spans="1:14" s="471" customFormat="1">
      <c r="A23" s="669"/>
      <c r="B23" s="712"/>
      <c r="C23" s="669"/>
      <c r="D23" s="669"/>
      <c r="E23" s="669"/>
      <c r="F23" s="669"/>
      <c r="G23" s="669"/>
      <c r="H23" s="669"/>
      <c r="I23" s="669"/>
      <c r="J23" s="669"/>
      <c r="K23" s="669"/>
      <c r="L23" s="1135"/>
    </row>
    <row r="24" spans="1:14" s="471" customFormat="1">
      <c r="A24" s="1999"/>
      <c r="B24" s="17" t="s">
        <v>19</v>
      </c>
      <c r="C24" s="1999"/>
      <c r="D24" s="1999"/>
      <c r="E24" s="1999"/>
      <c r="F24" s="6"/>
      <c r="G24" s="6"/>
      <c r="H24" s="3"/>
      <c r="I24" s="3"/>
      <c r="J24" s="3"/>
      <c r="K24" s="3"/>
      <c r="L24" s="1135"/>
      <c r="M24" s="211"/>
      <c r="N24" s="211"/>
    </row>
    <row r="25" spans="1:14" s="471" customFormat="1" ht="18" customHeight="1">
      <c r="A25" s="3206" t="s">
        <v>2</v>
      </c>
      <c r="B25" s="3207"/>
      <c r="C25" s="3207"/>
      <c r="D25" s="3207"/>
      <c r="E25" s="3207"/>
      <c r="F25" s="3207"/>
      <c r="G25" s="2011" t="s">
        <v>223</v>
      </c>
      <c r="H25" s="2011" t="s">
        <v>702</v>
      </c>
      <c r="I25" s="2011" t="s">
        <v>703</v>
      </c>
      <c r="J25" s="2011" t="s">
        <v>704</v>
      </c>
      <c r="K25" s="2011" t="s">
        <v>705</v>
      </c>
      <c r="L25" s="1135"/>
      <c r="M25" s="211"/>
      <c r="N25" s="211"/>
    </row>
    <row r="26" spans="1:14" s="471" customFormat="1" ht="18.95" hidden="1" customHeight="1">
      <c r="A26" s="3208" t="s">
        <v>887</v>
      </c>
      <c r="B26" s="3208"/>
      <c r="C26" s="3208"/>
      <c r="D26" s="3208"/>
      <c r="E26" s="3208"/>
      <c r="F26" s="3208"/>
      <c r="G26" s="1907">
        <f>'[2]Декоры база'!C175*[2]скидки_наценки!$D$13*[2]скидки_наценки!$F$13/[2]скидки_наценки!$B$4</f>
        <v>3000</v>
      </c>
      <c r="H26" s="1907">
        <f>G26</f>
        <v>3000</v>
      </c>
      <c r="I26" s="1907">
        <f>G26</f>
        <v>3000</v>
      </c>
      <c r="J26" s="1907">
        <f>G26</f>
        <v>3000</v>
      </c>
      <c r="K26" s="1907">
        <f>G26</f>
        <v>3000</v>
      </c>
      <c r="L26" s="1135"/>
      <c r="M26" s="211"/>
      <c r="N26" s="211"/>
    </row>
    <row r="27" spans="1:14" s="471" customFormat="1" ht="18.95" customHeight="1">
      <c r="A27" s="3209" t="s">
        <v>1171</v>
      </c>
      <c r="B27" s="3210"/>
      <c r="C27" s="3211"/>
      <c r="D27" s="3218" t="s">
        <v>1564</v>
      </c>
      <c r="E27" s="3219"/>
      <c r="F27" s="3220"/>
      <c r="G27" s="2526">
        <v>0.01</v>
      </c>
      <c r="H27" s="2526">
        <v>0.01</v>
      </c>
      <c r="I27" s="2526">
        <v>0.01</v>
      </c>
      <c r="J27" s="2526">
        <v>0.01</v>
      </c>
      <c r="K27" s="2526">
        <v>0.01</v>
      </c>
      <c r="L27" s="211"/>
      <c r="M27" s="211"/>
      <c r="N27" s="211"/>
    </row>
    <row r="28" spans="1:14" s="471" customFormat="1" ht="18.95" customHeight="1">
      <c r="A28" s="3212"/>
      <c r="B28" s="3213"/>
      <c r="C28" s="3214"/>
      <c r="D28" s="3221" t="s">
        <v>868</v>
      </c>
      <c r="E28" s="3222"/>
      <c r="F28" s="3223"/>
      <c r="G28" s="2527">
        <v>0.02</v>
      </c>
      <c r="H28" s="2527">
        <v>0.02</v>
      </c>
      <c r="I28" s="2527">
        <v>0.02</v>
      </c>
      <c r="J28" s="2527">
        <v>0.02</v>
      </c>
      <c r="K28" s="2527">
        <v>0.02</v>
      </c>
      <c r="L28" s="211"/>
      <c r="M28" s="211"/>
      <c r="N28" s="211"/>
    </row>
    <row r="29" spans="1:14" s="471" customFormat="1" ht="18.95" customHeight="1">
      <c r="A29" s="3215"/>
      <c r="B29" s="3216"/>
      <c r="C29" s="3217"/>
      <c r="D29" s="3224" t="s">
        <v>870</v>
      </c>
      <c r="E29" s="3225"/>
      <c r="F29" s="3226"/>
      <c r="G29" s="2528">
        <v>0.02</v>
      </c>
      <c r="H29" s="2528">
        <v>0.02</v>
      </c>
      <c r="I29" s="2528">
        <v>0.02</v>
      </c>
      <c r="J29" s="2528">
        <v>0.02</v>
      </c>
      <c r="K29" s="2528">
        <v>0.02</v>
      </c>
      <c r="L29" s="211"/>
      <c r="M29" s="211"/>
      <c r="N29" s="211"/>
    </row>
    <row r="30" spans="1:14" s="471" customFormat="1" ht="10.5" customHeight="1">
      <c r="F30" s="2"/>
      <c r="G30" s="2"/>
      <c r="K30" s="685"/>
    </row>
    <row r="31" spans="1:14" s="471" customFormat="1" ht="14.25" customHeight="1">
      <c r="B31" s="294" t="s">
        <v>888</v>
      </c>
      <c r="F31" s="2"/>
      <c r="G31" s="2"/>
      <c r="K31" s="44"/>
    </row>
    <row r="32" spans="1:14" s="471" customFormat="1" ht="14.25" customHeight="1">
      <c r="B32" s="1598" t="s">
        <v>1837</v>
      </c>
      <c r="F32" s="2"/>
      <c r="G32" s="2"/>
      <c r="K32" s="44"/>
    </row>
    <row r="33" spans="1:11" s="471" customFormat="1" ht="20.25" customHeight="1">
      <c r="B33" s="14" t="s">
        <v>1540</v>
      </c>
      <c r="C33" s="14"/>
      <c r="D33" s="14"/>
      <c r="E33" s="14"/>
      <c r="F33" s="1454"/>
      <c r="G33" s="1454"/>
      <c r="H33" s="14"/>
      <c r="I33" s="14"/>
      <c r="K33" s="44"/>
    </row>
    <row r="34" spans="1:11" s="471" customFormat="1" ht="18" customHeight="1">
      <c r="B34" s="14" t="s">
        <v>1559</v>
      </c>
      <c r="C34" s="14"/>
      <c r="D34" s="14"/>
      <c r="E34" s="14"/>
      <c r="F34" s="1454"/>
      <c r="G34" s="1454"/>
      <c r="H34" s="14"/>
      <c r="I34" s="14"/>
    </row>
    <row r="35" spans="1:11" s="471" customFormat="1" ht="18" customHeight="1">
      <c r="F35" s="2"/>
      <c r="G35" s="2"/>
    </row>
    <row r="36" spans="1:11" ht="18" customHeight="1"/>
    <row r="37" spans="1:11">
      <c r="A37" s="13"/>
    </row>
    <row r="41" spans="1:11">
      <c r="A41" s="246"/>
    </row>
    <row r="42" spans="1:11">
      <c r="A42" s="246"/>
    </row>
    <row r="43" spans="1:11">
      <c r="A43" s="110"/>
    </row>
  </sheetData>
  <mergeCells count="35">
    <mergeCell ref="B1:K1"/>
    <mergeCell ref="F5:F6"/>
    <mergeCell ref="E5:E6"/>
    <mergeCell ref="D5:D6"/>
    <mergeCell ref="A5:C6"/>
    <mergeCell ref="A7:A10"/>
    <mergeCell ref="B10:C10"/>
    <mergeCell ref="E16:F16"/>
    <mergeCell ref="A13:B15"/>
    <mergeCell ref="C13:D15"/>
    <mergeCell ref="E13:F15"/>
    <mergeCell ref="B9:C9"/>
    <mergeCell ref="B8:C8"/>
    <mergeCell ref="B7:C7"/>
    <mergeCell ref="G13:G15"/>
    <mergeCell ref="A16:B17"/>
    <mergeCell ref="C17:D17"/>
    <mergeCell ref="E17:F17"/>
    <mergeCell ref="A18:B19"/>
    <mergeCell ref="C18:D18"/>
    <mergeCell ref="E18:F18"/>
    <mergeCell ref="C19:D19"/>
    <mergeCell ref="E19:F19"/>
    <mergeCell ref="C16:D16"/>
    <mergeCell ref="A20:K20"/>
    <mergeCell ref="A21:B21"/>
    <mergeCell ref="C21:F21"/>
    <mergeCell ref="A22:B22"/>
    <mergeCell ref="C22:F22"/>
    <mergeCell ref="A25:F25"/>
    <mergeCell ref="A26:F26"/>
    <mergeCell ref="A27:C29"/>
    <mergeCell ref="D27:F27"/>
    <mergeCell ref="D28:F28"/>
    <mergeCell ref="D29:F29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5" orientation="landscape" useFirstPageNumber="1" r:id="rId1"/>
  <headerFooter>
    <oddFooter>&amp;L&amp;P&amp;R&amp;G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20">
    <tabColor rgb="FF92D050"/>
  </sheetPr>
  <dimension ref="A1:AT363"/>
  <sheetViews>
    <sheetView view="pageBreakPreview" zoomScale="85" zoomScaleNormal="100" zoomScaleSheetLayoutView="85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R22" sqref="R22"/>
    </sheetView>
  </sheetViews>
  <sheetFormatPr defaultColWidth="8.85546875" defaultRowHeight="15"/>
  <cols>
    <col min="1" max="1" width="4.7109375" style="19" customWidth="1"/>
    <col min="2" max="2" width="11.7109375" style="19" customWidth="1"/>
    <col min="3" max="3" width="11.7109375" style="471" customWidth="1"/>
    <col min="4" max="5" width="11.7109375" style="19" customWidth="1"/>
    <col min="6" max="6" width="11.7109375" style="2" customWidth="1"/>
    <col min="7" max="7" width="15" style="19" bestFit="1" customWidth="1"/>
    <col min="8" max="8" width="20.28515625" style="471" customWidth="1"/>
    <col min="9" max="9" width="22.140625" style="471" customWidth="1"/>
    <col min="10" max="10" width="20.7109375" style="356" customWidth="1"/>
    <col min="11" max="12" width="20.7109375" style="471" customWidth="1"/>
    <col min="13" max="13" width="18.42578125" style="19" customWidth="1"/>
    <col min="14" max="15" width="12.28515625" style="356" customWidth="1"/>
    <col min="16" max="17" width="12.28515625" style="19" customWidth="1"/>
    <col min="18" max="18" width="12.28515625" style="356" customWidth="1"/>
    <col min="19" max="27" width="12.28515625" style="19" customWidth="1"/>
    <col min="28" max="29" width="12.28515625" style="303" customWidth="1"/>
    <col min="30" max="16384" width="8.85546875" style="19"/>
  </cols>
  <sheetData>
    <row r="1" spans="1:46" s="1024" customFormat="1" ht="18" customHeight="1">
      <c r="B1" s="1055" t="s">
        <v>307</v>
      </c>
      <c r="C1" s="1032"/>
      <c r="D1" s="1029"/>
      <c r="E1" s="1029"/>
      <c r="F1" s="1030"/>
      <c r="G1" s="1029"/>
      <c r="H1" s="1029"/>
      <c r="I1" s="1029"/>
      <c r="J1" s="1029"/>
      <c r="K1" s="1029"/>
      <c r="L1" s="1029"/>
      <c r="N1" s="1029"/>
      <c r="O1" s="1029"/>
      <c r="P1" s="1029"/>
      <c r="Q1" s="1029"/>
      <c r="R1" s="1029"/>
      <c r="S1" s="1029"/>
      <c r="T1" s="1029"/>
      <c r="U1" s="1033"/>
      <c r="V1" s="1033"/>
      <c r="W1" s="1033"/>
      <c r="X1" s="1033"/>
      <c r="Y1" s="1033"/>
      <c r="Z1" s="1033"/>
      <c r="AA1" s="1033"/>
      <c r="AB1" s="1033"/>
      <c r="AC1" s="1033"/>
      <c r="AD1" s="1033"/>
      <c r="AE1" s="1033"/>
      <c r="AF1" s="1033"/>
      <c r="AG1" s="1033"/>
      <c r="AH1" s="1033"/>
      <c r="AI1" s="1033"/>
      <c r="AJ1" s="1033"/>
      <c r="AK1" s="1033"/>
      <c r="AL1" s="1033"/>
      <c r="AM1" s="1033"/>
      <c r="AN1" s="1033"/>
      <c r="AO1" s="1033"/>
      <c r="AP1" s="1033"/>
      <c r="AQ1" s="1033"/>
      <c r="AR1" s="1033"/>
      <c r="AS1" s="1033"/>
      <c r="AT1" s="1033"/>
    </row>
    <row r="3" spans="1:46" s="471" customFormat="1" ht="20.25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</row>
    <row r="4" spans="1:46" ht="15" customHeight="1">
      <c r="A4" s="121"/>
      <c r="B4" s="17" t="s">
        <v>54</v>
      </c>
      <c r="C4" s="17"/>
      <c r="D4" s="121"/>
      <c r="E4" s="121"/>
      <c r="F4" s="6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489"/>
      <c r="V4" s="489"/>
      <c r="W4" s="489"/>
      <c r="X4" s="489"/>
      <c r="Y4" s="489"/>
      <c r="Z4" s="489"/>
      <c r="AA4" s="489"/>
      <c r="AB4" s="489"/>
      <c r="AC4" s="489"/>
      <c r="AD4" s="489"/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  <c r="AS4" s="489"/>
      <c r="AT4" s="489"/>
    </row>
    <row r="5" spans="1:46" ht="32.25" customHeight="1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7</v>
      </c>
      <c r="G5" s="2990" t="s">
        <v>1845</v>
      </c>
      <c r="H5" s="2990" t="s">
        <v>1846</v>
      </c>
      <c r="I5" s="1897" t="s">
        <v>1847</v>
      </c>
      <c r="J5" s="2990" t="s">
        <v>1284</v>
      </c>
      <c r="K5" s="1992" t="s">
        <v>1198</v>
      </c>
      <c r="L5" s="3247" t="s">
        <v>2274</v>
      </c>
      <c r="M5" s="697"/>
      <c r="N5" s="697"/>
      <c r="O5" s="697"/>
      <c r="P5" s="697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  <c r="AB5" s="489"/>
      <c r="AC5" s="489"/>
      <c r="AD5" s="489"/>
      <c r="AE5" s="489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</row>
    <row r="6" spans="1:46" s="471" customFormat="1" ht="18.75">
      <c r="A6" s="2946"/>
      <c r="B6" s="2947"/>
      <c r="C6" s="2948"/>
      <c r="D6" s="2994"/>
      <c r="E6" s="2994"/>
      <c r="F6" s="2994"/>
      <c r="G6" s="2991"/>
      <c r="H6" s="2991"/>
      <c r="I6" s="1588" t="s">
        <v>1556</v>
      </c>
      <c r="J6" s="2991"/>
      <c r="K6" s="1987" t="s">
        <v>1557</v>
      </c>
      <c r="L6" s="2991"/>
      <c r="M6" s="697"/>
      <c r="N6" s="697"/>
      <c r="O6" s="697"/>
      <c r="P6" s="697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89"/>
      <c r="AF6" s="489"/>
      <c r="AG6" s="489"/>
      <c r="AH6" s="489"/>
      <c r="AI6" s="489"/>
      <c r="AJ6" s="489"/>
      <c r="AK6" s="489"/>
      <c r="AL6" s="489"/>
      <c r="AM6" s="489"/>
      <c r="AN6" s="489"/>
      <c r="AO6" s="489"/>
      <c r="AP6" s="489"/>
    </row>
    <row r="7" spans="1:46" s="350" customFormat="1" ht="24" customHeight="1">
      <c r="A7" s="2884" t="s">
        <v>1952</v>
      </c>
      <c r="B7" s="2884"/>
      <c r="C7" s="2884"/>
      <c r="D7" s="2028" t="s">
        <v>1953</v>
      </c>
      <c r="E7" s="2028" t="s">
        <v>31</v>
      </c>
      <c r="F7" s="2027" t="s">
        <v>0</v>
      </c>
      <c r="G7" s="1993" t="s">
        <v>3</v>
      </c>
      <c r="H7" s="1993" t="s">
        <v>3</v>
      </c>
      <c r="I7" s="1993"/>
      <c r="J7" s="1993" t="s">
        <v>3</v>
      </c>
      <c r="K7" s="1993">
        <f>('Полотна база'!BD9+Алюм.погонаж!E27)*(1+скидки_наценки!$B$29)*скидки_наценки!$D$15*скидки_наценки!$F$15/скидки_наценки!$B$4</f>
        <v>34000</v>
      </c>
      <c r="L7" s="1993">
        <f>'Полотна база'!BC9*(1+скидки_наценки!$B$29)*скидки_наценки!$D$15*скидки_наценки!$F$15/скидки_наценки!$B$4</f>
        <v>38750</v>
      </c>
      <c r="M7" s="702"/>
      <c r="N7" s="702"/>
      <c r="O7" s="359"/>
      <c r="P7" s="698"/>
      <c r="Q7" s="489"/>
      <c r="R7" s="489"/>
      <c r="S7" s="489"/>
      <c r="T7" s="489"/>
      <c r="U7" s="489"/>
      <c r="V7" s="489"/>
      <c r="W7" s="489"/>
      <c r="X7" s="489"/>
      <c r="Y7" s="489"/>
      <c r="Z7" s="489"/>
      <c r="AA7" s="489"/>
      <c r="AB7" s="489"/>
      <c r="AC7" s="489"/>
      <c r="AD7" s="489"/>
      <c r="AE7" s="489"/>
      <c r="AF7" s="489"/>
      <c r="AG7" s="489"/>
      <c r="AH7" s="489"/>
      <c r="AI7" s="489"/>
      <c r="AJ7" s="489"/>
      <c r="AK7" s="489"/>
      <c r="AL7" s="489"/>
      <c r="AM7" s="489"/>
      <c r="AN7" s="489"/>
      <c r="AO7" s="489"/>
      <c r="AP7" s="489"/>
    </row>
    <row r="8" spans="1:46" s="9" customFormat="1" ht="24" customHeight="1">
      <c r="A8" s="2885" t="s">
        <v>25</v>
      </c>
      <c r="B8" s="2931" t="s">
        <v>1287</v>
      </c>
      <c r="C8" s="2931"/>
      <c r="D8" s="2045" t="s">
        <v>1953</v>
      </c>
      <c r="E8" s="2026" t="s">
        <v>31</v>
      </c>
      <c r="F8" s="2025" t="s">
        <v>0</v>
      </c>
      <c r="G8" s="2060">
        <f>'Полотна база'!BA11*(1+скидки_наценки!$B$29)*скидки_наценки!$D$15*скидки_наценки!$F$15/скидки_наценки!$B$4</f>
        <v>34000</v>
      </c>
      <c r="H8" s="2060">
        <f>'Полотна база'!BB11*(1+скидки_наценки!$B$29)*скидки_наценки!$D$15*скидки_наценки!$F$15/скидки_наценки!$B$4</f>
        <v>36350</v>
      </c>
      <c r="I8" s="2060">
        <f>H8</f>
        <v>36350</v>
      </c>
      <c r="J8" s="2060">
        <f>'Полотна база'!BC11*(1+скидки_наценки!$B$29)*скидки_наценки!$D$15*скидки_наценки!$F$15/скидки_наценки!$B$4</f>
        <v>45200</v>
      </c>
      <c r="K8" s="2060">
        <f>('Полотна база'!BD11+Алюм.погонаж!E27)*(1+скидки_наценки!$B$29)*скидки_наценки!$D$15*скидки_наценки!$F$15/скидки_наценки!$B$4</f>
        <v>40050</v>
      </c>
      <c r="L8" s="2060">
        <f>'Полотна база'!BC11*(1+скидки_наценки!$B$29)*скидки_наценки!$D$15*скидки_наценки!$F$15/скидки_наценки!$B$4</f>
        <v>45200</v>
      </c>
      <c r="M8" s="698"/>
      <c r="N8" s="698"/>
      <c r="O8" s="700"/>
      <c r="P8" s="700"/>
      <c r="Q8" s="489"/>
      <c r="R8" s="489"/>
      <c r="S8" s="489"/>
      <c r="T8" s="489"/>
      <c r="U8" s="489"/>
      <c r="V8" s="489"/>
      <c r="W8" s="489"/>
      <c r="X8" s="489"/>
      <c r="Y8" s="489"/>
      <c r="Z8" s="489"/>
      <c r="AA8" s="489"/>
      <c r="AB8" s="489"/>
      <c r="AC8" s="489"/>
      <c r="AD8" s="489"/>
      <c r="AE8" s="489"/>
      <c r="AF8" s="489"/>
      <c r="AG8" s="489"/>
      <c r="AH8" s="489"/>
      <c r="AI8" s="489"/>
      <c r="AJ8" s="489"/>
      <c r="AK8" s="489"/>
      <c r="AL8" s="489"/>
      <c r="AM8" s="489"/>
      <c r="AN8" s="489"/>
      <c r="AO8" s="489"/>
      <c r="AP8" s="489"/>
    </row>
    <row r="9" spans="1:46" s="9" customFormat="1" ht="24" customHeight="1">
      <c r="A9" s="2885"/>
      <c r="B9" s="2932" t="s">
        <v>1806</v>
      </c>
      <c r="C9" s="2932"/>
      <c r="D9" s="2028" t="s">
        <v>1953</v>
      </c>
      <c r="E9" s="2028" t="s">
        <v>31</v>
      </c>
      <c r="F9" s="2027" t="s">
        <v>0</v>
      </c>
      <c r="G9" s="1993">
        <f>'Полотна база'!BA12*(1+скидки_наценки!$B$29)*скидки_наценки!$D$15*скидки_наценки!$F$15/скидки_наценки!$B$4</f>
        <v>35530</v>
      </c>
      <c r="H9" s="1993">
        <f>'Полотна база'!BB12*(1+скидки_наценки!$B$29)*скидки_наценки!$D$15*скидки_наценки!$F$15/скидки_наценки!$B$4</f>
        <v>37880</v>
      </c>
      <c r="I9" s="1993">
        <f t="shared" ref="I9:I10" si="0">H9</f>
        <v>37880</v>
      </c>
      <c r="J9" s="1993" t="s">
        <v>1311</v>
      </c>
      <c r="K9" s="1993" t="s">
        <v>1311</v>
      </c>
      <c r="L9" s="1993" t="s">
        <v>1311</v>
      </c>
      <c r="M9" s="699"/>
      <c r="N9" s="699"/>
      <c r="O9" s="701"/>
      <c r="P9" s="701"/>
      <c r="Q9" s="489"/>
      <c r="R9" s="489"/>
      <c r="S9" s="489"/>
      <c r="T9" s="489"/>
      <c r="U9" s="489"/>
      <c r="V9" s="489"/>
      <c r="W9" s="489"/>
      <c r="X9" s="489"/>
      <c r="Y9" s="489"/>
      <c r="Z9" s="489"/>
      <c r="AA9" s="489"/>
      <c r="AB9" s="489"/>
      <c r="AC9" s="489"/>
      <c r="AD9" s="489"/>
      <c r="AE9" s="489"/>
      <c r="AF9" s="489"/>
      <c r="AG9" s="489"/>
      <c r="AH9" s="489"/>
      <c r="AI9" s="489"/>
      <c r="AJ9" s="489"/>
      <c r="AK9" s="489"/>
      <c r="AL9" s="489"/>
      <c r="AM9" s="489"/>
      <c r="AN9" s="489"/>
      <c r="AO9" s="489"/>
      <c r="AP9" s="489"/>
    </row>
    <row r="10" spans="1:46" s="21" customFormat="1" ht="24" customHeight="1">
      <c r="A10" s="2885"/>
      <c r="B10" s="2931" t="s">
        <v>1436</v>
      </c>
      <c r="C10" s="2931"/>
      <c r="D10" s="2045" t="s">
        <v>1953</v>
      </c>
      <c r="E10" s="2026" t="s">
        <v>31</v>
      </c>
      <c r="F10" s="2025" t="s">
        <v>0</v>
      </c>
      <c r="G10" s="2060">
        <f>'Полотна база'!BA13*(1+скидки_наценки!$B$29)*скидки_наценки!$D$15*скидки_наценки!$F$15/скидки_наценки!$B$4</f>
        <v>37060</v>
      </c>
      <c r="H10" s="2060">
        <f>'Полотна база'!BB13*(1+скидки_наценки!$B$29)*скидки_наценки!$D$15*скидки_наценки!$F$15/скидки_наценки!$B$4</f>
        <v>39410</v>
      </c>
      <c r="I10" s="2498">
        <f t="shared" si="0"/>
        <v>39410</v>
      </c>
      <c r="J10" s="2060" t="s">
        <v>1311</v>
      </c>
      <c r="K10" s="2060" t="s">
        <v>3</v>
      </c>
      <c r="L10" s="2060" t="s">
        <v>1311</v>
      </c>
      <c r="M10" s="698"/>
      <c r="N10" s="698"/>
      <c r="O10" s="700"/>
      <c r="P10" s="700"/>
      <c r="Q10" s="489"/>
      <c r="R10" s="489"/>
      <c r="S10" s="489"/>
      <c r="T10" s="489"/>
      <c r="U10" s="489"/>
      <c r="V10" s="489"/>
      <c r="W10" s="489"/>
      <c r="X10" s="489"/>
      <c r="Y10" s="489"/>
      <c r="Z10" s="489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</row>
    <row r="11" spans="1:46" s="187" customFormat="1" ht="15.75" customHeight="1">
      <c r="A11" s="713"/>
      <c r="B11" s="2996" t="s">
        <v>1444</v>
      </c>
      <c r="C11" s="2996"/>
      <c r="D11" s="2996"/>
      <c r="E11" s="2996"/>
      <c r="F11" s="2996"/>
      <c r="G11" s="2996"/>
      <c r="H11" s="2996"/>
      <c r="I11" s="2996"/>
      <c r="J11" s="2996"/>
      <c r="K11" s="2996"/>
      <c r="L11" s="2996"/>
      <c r="M11" s="246"/>
      <c r="N11" s="690"/>
      <c r="O11" s="690"/>
      <c r="P11" s="690"/>
      <c r="Q11" s="690"/>
      <c r="R11" s="690"/>
      <c r="S11" s="690"/>
      <c r="T11" s="690"/>
      <c r="U11" s="690"/>
      <c r="V11" s="690"/>
      <c r="W11" s="690"/>
      <c r="X11" s="690"/>
      <c r="Y11" s="690"/>
      <c r="Z11" s="690"/>
      <c r="AA11" s="690"/>
      <c r="AB11" s="690"/>
      <c r="AC11" s="690"/>
      <c r="AD11" s="690"/>
      <c r="AE11" s="690"/>
      <c r="AF11" s="690"/>
      <c r="AG11" s="690"/>
      <c r="AH11" s="690"/>
      <c r="AI11" s="690"/>
      <c r="AJ11" s="690"/>
      <c r="AK11" s="690"/>
    </row>
    <row r="12" spans="1:46" ht="18" customHeight="1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703"/>
      <c r="N12" s="211"/>
      <c r="O12" s="211"/>
      <c r="P12" s="211"/>
      <c r="Q12" s="211"/>
      <c r="R12" s="211"/>
      <c r="S12" s="211"/>
      <c r="T12" s="211"/>
    </row>
    <row r="13" spans="1:46" ht="18" customHeight="1">
      <c r="A13" s="11"/>
      <c r="B13" s="53" t="s">
        <v>19</v>
      </c>
      <c r="C13" s="53"/>
      <c r="D13" s="11"/>
      <c r="E13" s="11"/>
      <c r="F13" s="11"/>
      <c r="G13" s="11"/>
      <c r="H13" s="211"/>
      <c r="I13" s="211"/>
      <c r="J13" s="211"/>
      <c r="K13" s="211"/>
      <c r="L13" s="211"/>
      <c r="M13" s="211"/>
      <c r="N13" s="211"/>
      <c r="O13" s="211"/>
      <c r="P13" s="483"/>
      <c r="Q13" s="483"/>
      <c r="R13" s="483"/>
      <c r="S13" s="211"/>
      <c r="T13" s="483"/>
      <c r="U13" s="30"/>
    </row>
    <row r="14" spans="1:46" ht="18" customHeight="1">
      <c r="A14" s="2936" t="s">
        <v>1495</v>
      </c>
      <c r="B14" s="2937"/>
      <c r="C14" s="2937"/>
      <c r="D14" s="2937"/>
      <c r="E14" s="2937"/>
      <c r="F14" s="2937"/>
      <c r="G14" s="2941" t="str">
        <f t="shared" ref="G14:L14" si="1">G5</f>
        <v>серия 
Unit</v>
      </c>
      <c r="H14" s="2941" t="str">
        <f t="shared" si="1"/>
        <v>Unit Slot 10-111</v>
      </c>
      <c r="I14" s="1589" t="str">
        <f t="shared" si="1"/>
        <v>Unit Slot 10-122/123</v>
      </c>
      <c r="J14" s="2941" t="str">
        <f t="shared" si="1"/>
        <v>серия 
Capriccio</v>
      </c>
      <c r="K14" s="1988" t="str">
        <f t="shared" ref="K14" si="2">K5</f>
        <v>серия Wave</v>
      </c>
      <c r="L14" s="2941" t="str">
        <f t="shared" si="1"/>
        <v>серия  
Spline/ Breeze</v>
      </c>
      <c r="M14" s="211"/>
      <c r="N14" s="211"/>
      <c r="O14" s="211"/>
      <c r="P14" s="483"/>
      <c r="Q14" s="483"/>
      <c r="R14" s="483"/>
      <c r="S14" s="211"/>
      <c r="T14" s="483"/>
      <c r="U14" s="30"/>
    </row>
    <row r="15" spans="1:46" ht="18" customHeight="1">
      <c r="A15" s="2938"/>
      <c r="B15" s="2939"/>
      <c r="C15" s="2939"/>
      <c r="D15" s="2939"/>
      <c r="E15" s="2939"/>
      <c r="F15" s="2939"/>
      <c r="G15" s="2942"/>
      <c r="H15" s="2942"/>
      <c r="I15" s="1559" t="str">
        <f>I6</f>
        <v xml:space="preserve">кромка 2AL </v>
      </c>
      <c r="J15" s="2942"/>
      <c r="K15" s="1989" t="str">
        <f>K6</f>
        <v>кромка 2AL</v>
      </c>
      <c r="L15" s="2942"/>
      <c r="M15" s="211"/>
      <c r="N15" s="211"/>
      <c r="O15" s="211"/>
      <c r="P15" s="211"/>
      <c r="Q15" s="211"/>
      <c r="R15" s="211"/>
      <c r="S15" s="211"/>
      <c r="T15" s="211"/>
    </row>
    <row r="16" spans="1:46" ht="18" customHeight="1">
      <c r="A16" s="656" t="s">
        <v>1193</v>
      </c>
      <c r="B16" s="657"/>
      <c r="C16" s="725"/>
      <c r="D16" s="657"/>
      <c r="E16" s="657"/>
      <c r="F16" s="657"/>
      <c r="G16" s="1558"/>
      <c r="H16" s="1558"/>
      <c r="I16" s="1558"/>
      <c r="J16" s="1558"/>
      <c r="K16" s="1558"/>
      <c r="L16" s="1558"/>
      <c r="M16" s="211"/>
      <c r="N16" s="211"/>
      <c r="O16" s="211"/>
      <c r="P16" s="211"/>
      <c r="Q16" s="211"/>
      <c r="R16" s="211"/>
      <c r="S16" s="211"/>
      <c r="T16" s="211"/>
    </row>
    <row r="17" spans="1:29" ht="18" customHeight="1">
      <c r="A17" s="2954" t="s">
        <v>1194</v>
      </c>
      <c r="B17" s="2955"/>
      <c r="C17" s="2955"/>
      <c r="D17" s="3245"/>
      <c r="E17" s="2899" t="s">
        <v>1196</v>
      </c>
      <c r="F17" s="2900"/>
      <c r="G17" s="1561" t="s">
        <v>3</v>
      </c>
      <c r="H17" s="1561" t="s">
        <v>1192</v>
      </c>
      <c r="I17" s="1561" t="s">
        <v>1192</v>
      </c>
      <c r="J17" s="1561" t="s">
        <v>3</v>
      </c>
      <c r="K17" s="1561" t="s">
        <v>3</v>
      </c>
      <c r="L17" s="1561" t="s">
        <v>3</v>
      </c>
      <c r="M17" s="211"/>
      <c r="N17" s="211"/>
      <c r="O17" s="211"/>
      <c r="P17" s="211"/>
      <c r="Q17" s="211"/>
      <c r="R17" s="211"/>
      <c r="S17" s="211"/>
      <c r="T17" s="211"/>
    </row>
    <row r="18" spans="1:29" ht="15.75">
      <c r="A18" s="2958"/>
      <c r="B18" s="2959"/>
      <c r="C18" s="2959"/>
      <c r="D18" s="3246"/>
      <c r="E18" s="3027" t="s">
        <v>1197</v>
      </c>
      <c r="F18" s="3028"/>
      <c r="G18" s="1560" t="s">
        <v>3</v>
      </c>
      <c r="H18" s="1560" t="s">
        <v>1192</v>
      </c>
      <c r="I18" s="1560" t="s">
        <v>1192</v>
      </c>
      <c r="J18" s="1560" t="s">
        <v>3</v>
      </c>
      <c r="K18" s="1560" t="s">
        <v>3</v>
      </c>
      <c r="L18" s="1560" t="s">
        <v>3</v>
      </c>
      <c r="M18" s="211"/>
      <c r="N18" s="211"/>
      <c r="O18" s="211"/>
      <c r="P18" s="211"/>
      <c r="Q18" s="211"/>
      <c r="R18" s="211"/>
      <c r="S18" s="211"/>
      <c r="T18" s="211"/>
    </row>
    <row r="19" spans="1:29" ht="17.25" customHeight="1">
      <c r="A19" s="211"/>
      <c r="B19" s="2928" t="s">
        <v>2185</v>
      </c>
      <c r="C19" s="2928"/>
      <c r="D19" s="2928"/>
      <c r="E19" s="2928"/>
      <c r="F19" s="2928"/>
      <c r="G19" s="2928"/>
      <c r="H19" s="2928"/>
      <c r="I19" s="2928"/>
      <c r="J19" s="2928"/>
      <c r="K19" s="2928"/>
      <c r="L19" s="2928"/>
      <c r="M19" s="211"/>
      <c r="N19" s="211"/>
      <c r="O19" s="211"/>
      <c r="P19" s="211"/>
      <c r="Q19" s="211"/>
      <c r="R19" s="211"/>
      <c r="S19" s="211"/>
      <c r="T19" s="211"/>
    </row>
    <row r="20" spans="1:29" ht="17.25" customHeight="1">
      <c r="A20" s="1562"/>
      <c r="B20" s="49" t="s">
        <v>1497</v>
      </c>
      <c r="C20" s="1562"/>
      <c r="D20" s="1562"/>
      <c r="E20" s="1562"/>
      <c r="F20" s="1566"/>
      <c r="G20" s="1562"/>
      <c r="H20" s="1562"/>
      <c r="I20" s="1562"/>
      <c r="J20" s="1562"/>
      <c r="K20" s="1562"/>
      <c r="L20" s="1562"/>
      <c r="M20" s="211"/>
      <c r="N20" s="211"/>
      <c r="O20" s="211"/>
      <c r="P20" s="211"/>
      <c r="Q20" s="211"/>
      <c r="R20" s="211"/>
      <c r="S20" s="211"/>
      <c r="T20" s="211"/>
    </row>
    <row r="21" spans="1:29" ht="18" customHeight="1">
      <c r="A21" s="1562"/>
      <c r="B21" s="1562"/>
      <c r="C21" s="1563"/>
      <c r="D21" s="2995" t="s">
        <v>1848</v>
      </c>
      <c r="E21" s="2995"/>
      <c r="F21" s="2995"/>
      <c r="G21" s="1562"/>
      <c r="H21" s="1564"/>
      <c r="I21" s="1564"/>
      <c r="J21" s="1567" t="s">
        <v>1499</v>
      </c>
      <c r="K21" s="1991"/>
      <c r="M21" s="211"/>
      <c r="N21" s="211"/>
      <c r="O21" s="211"/>
      <c r="P21" s="211"/>
      <c r="Q21" s="211"/>
      <c r="R21" s="211"/>
      <c r="S21" s="211"/>
      <c r="T21" s="211"/>
    </row>
    <row r="22" spans="1:29" s="471" customFormat="1">
      <c r="A22" s="1562"/>
      <c r="B22" s="1562"/>
      <c r="C22" s="1563"/>
      <c r="D22" s="1565"/>
      <c r="E22" s="1565"/>
      <c r="F22" s="1565"/>
      <c r="G22" s="1562"/>
      <c r="H22" s="1564"/>
      <c r="I22" s="1564"/>
      <c r="L22" s="1564"/>
      <c r="M22" s="211"/>
      <c r="N22" s="211"/>
      <c r="O22" s="211"/>
      <c r="P22" s="211"/>
      <c r="Q22" s="211"/>
      <c r="R22" s="211"/>
      <c r="S22" s="211"/>
      <c r="T22" s="211"/>
      <c r="AB22" s="303"/>
      <c r="AC22" s="303"/>
    </row>
    <row r="23" spans="1:29">
      <c r="A23" s="1562"/>
      <c r="B23" s="1562"/>
      <c r="C23" s="1562"/>
      <c r="D23" s="57"/>
      <c r="E23" s="57"/>
      <c r="F23" s="57"/>
      <c r="G23" s="1562"/>
      <c r="H23" s="1562"/>
      <c r="I23" s="1562"/>
      <c r="J23" s="1562"/>
      <c r="K23" s="1562"/>
      <c r="L23" s="1566"/>
      <c r="M23" s="211"/>
      <c r="N23" s="211"/>
      <c r="O23" s="211"/>
      <c r="P23" s="211"/>
      <c r="Q23" s="211"/>
      <c r="R23" s="211"/>
      <c r="S23" s="211"/>
      <c r="T23" s="211"/>
    </row>
    <row r="24" spans="1:29">
      <c r="A24" s="1562"/>
      <c r="B24" s="1562"/>
      <c r="C24" s="1562"/>
      <c r="D24" s="57"/>
      <c r="E24" s="57"/>
      <c r="F24" s="57"/>
      <c r="G24" s="1562"/>
      <c r="H24" s="1562"/>
      <c r="I24" s="1562"/>
      <c r="J24" s="1562"/>
      <c r="K24" s="1562"/>
      <c r="L24" s="1566"/>
      <c r="M24" s="211"/>
      <c r="N24" s="211"/>
      <c r="O24" s="211"/>
      <c r="P24" s="211"/>
      <c r="Q24" s="211"/>
      <c r="R24" s="211"/>
      <c r="S24" s="211"/>
      <c r="T24" s="211"/>
    </row>
    <row r="25" spans="1:29">
      <c r="A25" s="1562"/>
      <c r="B25" s="1562"/>
      <c r="C25" s="1562"/>
      <c r="D25" s="57"/>
      <c r="E25" s="57"/>
      <c r="F25" s="57"/>
      <c r="G25" s="1562"/>
      <c r="H25" s="1562"/>
      <c r="I25" s="1562"/>
      <c r="J25" s="1562"/>
      <c r="K25" s="1562"/>
      <c r="L25" s="1566"/>
      <c r="M25" s="211"/>
      <c r="N25" s="211"/>
      <c r="O25" s="211"/>
      <c r="P25" s="211"/>
      <c r="Q25" s="211"/>
      <c r="R25" s="211"/>
      <c r="S25" s="211"/>
      <c r="T25" s="211"/>
    </row>
    <row r="26" spans="1:29">
      <c r="A26" s="1562"/>
      <c r="B26" s="1562"/>
      <c r="C26" s="1562"/>
      <c r="D26" s="57"/>
      <c r="E26" s="57"/>
      <c r="F26" s="57"/>
      <c r="G26" s="1562"/>
      <c r="H26" s="1562"/>
      <c r="I26" s="1562"/>
      <c r="J26" s="1562"/>
      <c r="K26" s="1562"/>
      <c r="L26" s="1566"/>
      <c r="M26" s="211"/>
      <c r="N26" s="211"/>
      <c r="O26" s="211"/>
      <c r="P26" s="211"/>
      <c r="Q26" s="211"/>
      <c r="R26" s="211"/>
      <c r="S26" s="211"/>
      <c r="T26" s="211"/>
    </row>
    <row r="27" spans="1:29">
      <c r="A27" s="1562"/>
      <c r="B27" s="1562"/>
      <c r="C27" s="1562"/>
      <c r="D27" s="57"/>
      <c r="E27" s="57"/>
      <c r="F27" s="57"/>
      <c r="G27" s="1562"/>
      <c r="H27" s="1562"/>
      <c r="I27" s="1562"/>
      <c r="J27" s="1562"/>
      <c r="K27" s="1562"/>
      <c r="L27" s="1566"/>
      <c r="M27" s="211"/>
      <c r="N27" s="211"/>
      <c r="O27" s="211"/>
      <c r="P27" s="211"/>
      <c r="Q27" s="211"/>
      <c r="R27" s="211"/>
      <c r="S27" s="211"/>
      <c r="T27" s="211"/>
    </row>
    <row r="28" spans="1:29">
      <c r="A28" s="1562"/>
      <c r="B28" s="1562"/>
      <c r="C28" s="1562"/>
      <c r="D28" s="57"/>
      <c r="E28" s="57"/>
      <c r="F28" s="57"/>
      <c r="G28" s="1562"/>
      <c r="H28" s="1562"/>
      <c r="I28" s="1562"/>
      <c r="J28" s="1562"/>
      <c r="K28" s="1562"/>
      <c r="L28" s="1566"/>
      <c r="M28" s="211"/>
      <c r="N28" s="211"/>
      <c r="O28" s="211"/>
      <c r="P28" s="211"/>
      <c r="Q28" s="211"/>
      <c r="R28" s="211"/>
      <c r="S28" s="211"/>
      <c r="T28" s="211"/>
    </row>
    <row r="29" spans="1:29">
      <c r="A29" s="1562"/>
      <c r="B29" s="1562"/>
      <c r="C29" s="1562"/>
      <c r="D29" s="57"/>
      <c r="E29" s="57"/>
      <c r="F29" s="57"/>
      <c r="G29" s="1562"/>
      <c r="H29" s="1562"/>
      <c r="I29" s="1562"/>
      <c r="J29" s="1562"/>
      <c r="K29" s="1562"/>
      <c r="L29" s="1566"/>
      <c r="M29" s="211"/>
      <c r="N29" s="211"/>
      <c r="O29" s="211"/>
      <c r="P29" s="211"/>
      <c r="Q29" s="211"/>
      <c r="R29" s="211"/>
      <c r="S29" s="211"/>
      <c r="T29" s="211"/>
    </row>
    <row r="30" spans="1:29">
      <c r="A30" s="1562"/>
      <c r="B30" s="1562"/>
      <c r="C30" s="1562"/>
      <c r="D30" s="1568" t="s">
        <v>1500</v>
      </c>
      <c r="E30" s="1565"/>
      <c r="F30" s="1565"/>
      <c r="G30" s="1562"/>
      <c r="I30" s="1562"/>
      <c r="J30" s="1563" t="s">
        <v>2275</v>
      </c>
      <c r="K30" s="1564" t="s">
        <v>1939</v>
      </c>
      <c r="L30" s="1564" t="s">
        <v>4</v>
      </c>
      <c r="M30" s="211"/>
      <c r="N30" s="211"/>
      <c r="O30" s="211"/>
      <c r="P30" s="211"/>
      <c r="Q30" s="211"/>
      <c r="R30" s="211"/>
      <c r="S30" s="211"/>
      <c r="T30" s="211"/>
    </row>
    <row r="31" spans="1:29" ht="15" customHeight="1">
      <c r="A31" s="1562"/>
      <c r="B31" s="1562"/>
      <c r="C31" s="1562"/>
      <c r="D31" s="1562"/>
      <c r="E31" s="1562"/>
      <c r="F31" s="1566"/>
      <c r="G31" s="1562"/>
      <c r="H31" s="1562"/>
      <c r="I31" s="1562"/>
      <c r="J31" s="1562"/>
      <c r="K31" s="1562"/>
      <c r="L31" s="1562"/>
      <c r="M31" s="211"/>
      <c r="N31" s="211"/>
      <c r="O31" s="211"/>
      <c r="P31" s="211"/>
      <c r="Q31" s="211"/>
      <c r="R31" s="211"/>
      <c r="S31" s="211"/>
      <c r="T31" s="211"/>
    </row>
    <row r="32" spans="1:29">
      <c r="A32" s="1562"/>
      <c r="B32" s="1562"/>
      <c r="C32" s="1562"/>
      <c r="D32" s="1562"/>
      <c r="E32" s="1562"/>
      <c r="F32" s="1566"/>
      <c r="G32" s="1562"/>
      <c r="H32" s="1562"/>
      <c r="I32" s="1562"/>
      <c r="J32" s="1562"/>
      <c r="K32" s="1562"/>
      <c r="L32" s="1562"/>
      <c r="M32" s="211"/>
      <c r="N32" s="211"/>
      <c r="O32" s="211"/>
      <c r="P32" s="211"/>
      <c r="Q32" s="211"/>
      <c r="R32" s="211"/>
      <c r="S32" s="211"/>
      <c r="T32" s="211"/>
    </row>
    <row r="33" spans="1:20">
      <c r="A33" s="1562"/>
      <c r="B33" s="1562"/>
      <c r="C33" s="1562"/>
      <c r="D33" s="1562"/>
      <c r="E33" s="1562"/>
      <c r="F33" s="1566"/>
      <c r="G33" s="1562"/>
      <c r="H33" s="1562"/>
      <c r="I33" s="1562"/>
      <c r="J33" s="1562"/>
      <c r="K33" s="1562"/>
      <c r="L33" s="1562"/>
      <c r="M33" s="211"/>
      <c r="N33" s="211"/>
      <c r="O33" s="211"/>
      <c r="P33" s="211"/>
      <c r="Q33" s="211"/>
      <c r="R33" s="211"/>
      <c r="S33" s="211"/>
      <c r="T33" s="211"/>
    </row>
    <row r="34" spans="1:20">
      <c r="A34" s="1562"/>
      <c r="B34" s="1562"/>
      <c r="C34" s="1562"/>
      <c r="D34" s="1562"/>
      <c r="E34" s="1562"/>
      <c r="F34" s="1566"/>
      <c r="G34" s="1562"/>
      <c r="H34" s="1562"/>
      <c r="I34" s="1562"/>
      <c r="J34" s="1562"/>
      <c r="K34" s="1562"/>
      <c r="L34" s="1562"/>
      <c r="M34" s="211"/>
      <c r="N34" s="211"/>
      <c r="O34" s="211"/>
      <c r="P34" s="211"/>
      <c r="Q34" s="211"/>
      <c r="R34" s="211"/>
      <c r="S34" s="211"/>
      <c r="T34" s="211"/>
    </row>
    <row r="35" spans="1:20">
      <c r="A35" s="1562"/>
      <c r="B35" s="1562"/>
      <c r="C35" s="1562"/>
      <c r="D35" s="1562"/>
      <c r="E35" s="1562"/>
      <c r="F35" s="1566"/>
      <c r="G35" s="1562"/>
      <c r="H35" s="1562"/>
      <c r="I35" s="1562"/>
      <c r="J35" s="1562"/>
      <c r="K35" s="1562"/>
      <c r="L35" s="1562"/>
      <c r="M35" s="211"/>
      <c r="N35" s="211"/>
      <c r="O35" s="211"/>
      <c r="P35" s="211"/>
      <c r="Q35" s="211"/>
      <c r="R35" s="211"/>
      <c r="S35" s="211"/>
      <c r="T35" s="211"/>
    </row>
    <row r="36" spans="1:20">
      <c r="A36" s="1562"/>
      <c r="B36" s="1562"/>
      <c r="C36" s="1562"/>
      <c r="D36" s="1562"/>
      <c r="E36" s="1562"/>
      <c r="F36" s="1566"/>
      <c r="G36" s="1562"/>
      <c r="H36" s="1562"/>
      <c r="I36" s="1562"/>
      <c r="J36" s="1562"/>
      <c r="K36" s="1562"/>
      <c r="L36" s="1562"/>
      <c r="M36" s="211"/>
      <c r="N36" s="211"/>
      <c r="O36" s="211"/>
      <c r="P36" s="211"/>
      <c r="Q36" s="211"/>
      <c r="R36" s="211"/>
      <c r="S36" s="211"/>
      <c r="T36" s="211"/>
    </row>
    <row r="37" spans="1:20">
      <c r="A37" s="1562"/>
      <c r="B37" s="1562"/>
      <c r="C37" s="1562"/>
      <c r="D37" s="1562"/>
      <c r="E37" s="1562"/>
      <c r="F37" s="1566"/>
      <c r="G37" s="1562"/>
      <c r="H37" s="1562"/>
      <c r="I37" s="1562"/>
      <c r="J37" s="1562"/>
      <c r="K37" s="1562"/>
      <c r="L37" s="1562"/>
      <c r="M37" s="211"/>
      <c r="N37" s="211"/>
      <c r="O37" s="211"/>
      <c r="P37" s="211"/>
      <c r="Q37" s="211"/>
      <c r="R37" s="211"/>
      <c r="S37" s="211"/>
      <c r="T37" s="211"/>
    </row>
    <row r="38" spans="1:20">
      <c r="A38" s="1562"/>
      <c r="B38" s="1562"/>
      <c r="C38" s="1562"/>
      <c r="D38" s="1562"/>
      <c r="E38" s="1562"/>
      <c r="F38" s="1566"/>
      <c r="G38" s="1562"/>
      <c r="H38" s="1562"/>
      <c r="I38" s="1562"/>
      <c r="J38" s="1562"/>
      <c r="K38" s="1562"/>
      <c r="L38" s="1562"/>
      <c r="M38" s="211"/>
      <c r="N38" s="211"/>
      <c r="O38" s="211"/>
      <c r="P38" s="211"/>
      <c r="Q38" s="211"/>
      <c r="R38" s="211"/>
      <c r="S38" s="211"/>
      <c r="T38" s="211"/>
    </row>
    <row r="39" spans="1:20">
      <c r="A39" s="1562"/>
      <c r="B39" s="1562"/>
      <c r="C39" s="1562"/>
      <c r="D39" s="1562"/>
      <c r="E39" s="1562"/>
      <c r="F39" s="1566"/>
      <c r="G39" s="1562"/>
      <c r="H39" s="1562"/>
      <c r="I39" s="1562"/>
      <c r="J39" s="1562"/>
      <c r="K39" s="1562"/>
      <c r="L39" s="1562"/>
      <c r="M39" s="211"/>
      <c r="N39" s="211"/>
      <c r="O39" s="211"/>
      <c r="P39" s="211"/>
      <c r="Q39" s="211"/>
      <c r="R39" s="211"/>
      <c r="S39" s="211"/>
      <c r="T39" s="211"/>
    </row>
    <row r="40" spans="1:20">
      <c r="A40" s="211"/>
      <c r="B40" s="211"/>
      <c r="C40" s="211"/>
      <c r="D40" s="211"/>
      <c r="E40" s="211"/>
      <c r="F40" s="486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</row>
    <row r="41" spans="1:20">
      <c r="A41" s="211"/>
      <c r="B41" s="211"/>
      <c r="C41" s="211"/>
      <c r="D41" s="211"/>
      <c r="E41" s="211"/>
      <c r="F41" s="486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</row>
    <row r="42" spans="1:20">
      <c r="A42" s="211"/>
      <c r="B42" s="211"/>
      <c r="C42" s="211"/>
      <c r="D42" s="211"/>
      <c r="E42" s="211"/>
      <c r="F42" s="486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</row>
    <row r="43" spans="1:20">
      <c r="A43" s="211"/>
      <c r="B43" s="211"/>
      <c r="C43" s="211"/>
      <c r="D43" s="211"/>
      <c r="E43" s="211"/>
      <c r="F43" s="486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</row>
    <row r="44" spans="1:20">
      <c r="A44" s="211"/>
      <c r="B44" s="211"/>
      <c r="C44" s="211"/>
      <c r="D44" s="211"/>
      <c r="E44" s="211"/>
      <c r="F44" s="486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</row>
    <row r="45" spans="1:20">
      <c r="A45" s="211"/>
      <c r="B45" s="211"/>
      <c r="C45" s="211"/>
      <c r="D45" s="211"/>
      <c r="E45" s="211"/>
      <c r="F45" s="486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</row>
    <row r="46" spans="1:20">
      <c r="A46" s="211"/>
      <c r="B46" s="211"/>
      <c r="C46" s="211"/>
      <c r="D46" s="211"/>
      <c r="E46" s="211"/>
      <c r="F46" s="486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</row>
    <row r="47" spans="1:20">
      <c r="A47" s="211"/>
      <c r="B47" s="211"/>
      <c r="C47" s="211"/>
      <c r="D47" s="211"/>
      <c r="E47" s="211"/>
      <c r="F47" s="486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</row>
    <row r="48" spans="1:20">
      <c r="A48" s="211"/>
      <c r="B48" s="211"/>
      <c r="C48" s="211"/>
      <c r="D48" s="211"/>
      <c r="E48" s="211"/>
      <c r="F48" s="486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</row>
    <row r="49" spans="1:20">
      <c r="A49" s="211"/>
      <c r="B49" s="211"/>
      <c r="C49" s="211"/>
      <c r="D49" s="211"/>
      <c r="E49" s="211"/>
      <c r="F49" s="486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</row>
    <row r="50" spans="1:20">
      <c r="A50" s="211"/>
      <c r="B50" s="211"/>
      <c r="C50" s="211"/>
      <c r="D50" s="211"/>
      <c r="E50" s="211"/>
      <c r="F50" s="486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</row>
    <row r="51" spans="1:20">
      <c r="A51" s="211"/>
      <c r="B51" s="211"/>
      <c r="C51" s="211"/>
      <c r="D51" s="211"/>
      <c r="E51" s="211"/>
      <c r="F51" s="486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</row>
    <row r="52" spans="1:20">
      <c r="A52" s="211"/>
      <c r="B52" s="211"/>
      <c r="C52" s="211"/>
      <c r="D52" s="211"/>
      <c r="E52" s="211"/>
      <c r="F52" s="486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</row>
    <row r="53" spans="1:20">
      <c r="A53" s="211"/>
      <c r="B53" s="211"/>
      <c r="C53" s="211"/>
      <c r="D53" s="211"/>
      <c r="E53" s="211"/>
      <c r="F53" s="486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</row>
    <row r="54" spans="1:20">
      <c r="A54" s="211"/>
      <c r="B54" s="211"/>
      <c r="C54" s="211"/>
      <c r="D54" s="211"/>
      <c r="E54" s="211"/>
      <c r="F54" s="486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</row>
    <row r="55" spans="1:20">
      <c r="A55" s="211"/>
      <c r="B55" s="211"/>
      <c r="C55" s="211"/>
      <c r="D55" s="211"/>
      <c r="E55" s="211"/>
      <c r="F55" s="486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</row>
    <row r="56" spans="1:20">
      <c r="A56" s="211"/>
      <c r="B56" s="211"/>
      <c r="C56" s="211"/>
      <c r="D56" s="211"/>
      <c r="E56" s="211"/>
      <c r="F56" s="486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</row>
    <row r="57" spans="1:20">
      <c r="A57" s="211"/>
      <c r="B57" s="211"/>
      <c r="C57" s="211"/>
      <c r="D57" s="211"/>
      <c r="E57" s="211"/>
      <c r="F57" s="486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</row>
    <row r="58" spans="1:20">
      <c r="A58" s="211"/>
      <c r="B58" s="211"/>
      <c r="C58" s="211"/>
      <c r="D58" s="211"/>
      <c r="E58" s="211"/>
      <c r="F58" s="486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</row>
    <row r="59" spans="1:20">
      <c r="A59" s="211"/>
      <c r="B59" s="211"/>
      <c r="C59" s="211"/>
      <c r="D59" s="211"/>
      <c r="E59" s="211"/>
      <c r="F59" s="486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</row>
    <row r="60" spans="1:20">
      <c r="A60" s="211"/>
      <c r="B60" s="211"/>
      <c r="C60" s="211"/>
      <c r="D60" s="211"/>
      <c r="E60" s="211"/>
      <c r="F60" s="486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</row>
    <row r="61" spans="1:20">
      <c r="A61" s="211"/>
      <c r="B61" s="211"/>
      <c r="C61" s="211"/>
      <c r="D61" s="211"/>
      <c r="E61" s="211"/>
      <c r="F61" s="486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</row>
    <row r="62" spans="1:20">
      <c r="A62" s="211"/>
      <c r="B62" s="211"/>
      <c r="C62" s="211"/>
      <c r="D62" s="211"/>
      <c r="E62" s="211"/>
      <c r="F62" s="486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</row>
    <row r="63" spans="1:20">
      <c r="A63" s="211"/>
      <c r="B63" s="211"/>
      <c r="C63" s="211"/>
      <c r="D63" s="211"/>
      <c r="E63" s="211"/>
      <c r="F63" s="486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</row>
    <row r="64" spans="1:20">
      <c r="A64" s="211"/>
      <c r="B64" s="211"/>
      <c r="C64" s="211"/>
      <c r="D64" s="211"/>
      <c r="E64" s="211"/>
      <c r="F64" s="486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</row>
    <row r="65" spans="1:20">
      <c r="A65" s="211"/>
      <c r="B65" s="211"/>
      <c r="C65" s="211"/>
      <c r="D65" s="211"/>
      <c r="E65" s="211"/>
      <c r="F65" s="486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</row>
    <row r="66" spans="1:20">
      <c r="A66" s="211"/>
      <c r="B66" s="211"/>
      <c r="C66" s="211"/>
      <c r="D66" s="211"/>
      <c r="E66" s="211"/>
      <c r="F66" s="486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</row>
    <row r="67" spans="1:20">
      <c r="A67" s="211"/>
      <c r="B67" s="211"/>
      <c r="C67" s="211"/>
      <c r="D67" s="211"/>
      <c r="E67" s="211"/>
      <c r="F67" s="486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</row>
    <row r="68" spans="1:20">
      <c r="A68" s="211"/>
      <c r="B68" s="211"/>
      <c r="C68" s="211"/>
      <c r="D68" s="211"/>
      <c r="E68" s="211"/>
      <c r="F68" s="486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</row>
    <row r="69" spans="1:20">
      <c r="A69" s="211"/>
      <c r="B69" s="211"/>
      <c r="C69" s="211"/>
      <c r="D69" s="211"/>
      <c r="E69" s="211"/>
      <c r="F69" s="486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</row>
    <row r="70" spans="1:20">
      <c r="A70" s="211"/>
      <c r="B70" s="211"/>
      <c r="C70" s="211"/>
      <c r="D70" s="211"/>
      <c r="E70" s="211"/>
      <c r="F70" s="486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</row>
    <row r="71" spans="1:20">
      <c r="A71" s="211"/>
      <c r="B71" s="211"/>
      <c r="C71" s="211"/>
      <c r="D71" s="211"/>
      <c r="E71" s="211"/>
      <c r="F71" s="486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</row>
    <row r="72" spans="1:20">
      <c r="A72" s="211"/>
      <c r="B72" s="211"/>
      <c r="C72" s="211"/>
      <c r="D72" s="211"/>
      <c r="E72" s="211"/>
      <c r="F72" s="486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</row>
    <row r="73" spans="1:20">
      <c r="A73" s="211"/>
      <c r="B73" s="211"/>
      <c r="C73" s="211"/>
      <c r="D73" s="211"/>
      <c r="E73" s="211"/>
      <c r="F73" s="486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</row>
    <row r="74" spans="1:20">
      <c r="A74" s="211"/>
      <c r="B74" s="211"/>
      <c r="C74" s="211"/>
      <c r="D74" s="211"/>
      <c r="E74" s="211"/>
      <c r="F74" s="486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</row>
    <row r="75" spans="1:20">
      <c r="A75" s="211"/>
      <c r="B75" s="211"/>
      <c r="C75" s="211"/>
      <c r="D75" s="211"/>
      <c r="E75" s="211"/>
      <c r="F75" s="486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</row>
    <row r="76" spans="1:20">
      <c r="A76" s="211"/>
      <c r="B76" s="211"/>
      <c r="C76" s="211"/>
      <c r="D76" s="211"/>
      <c r="E76" s="211"/>
      <c r="F76" s="486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</row>
    <row r="77" spans="1:20">
      <c r="A77" s="211"/>
      <c r="B77" s="211"/>
      <c r="C77" s="211"/>
      <c r="D77" s="211"/>
      <c r="E77" s="211"/>
      <c r="F77" s="486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</row>
    <row r="78" spans="1:20">
      <c r="A78" s="211"/>
      <c r="B78" s="211"/>
      <c r="C78" s="211"/>
      <c r="D78" s="211"/>
      <c r="E78" s="211"/>
      <c r="F78" s="486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</row>
    <row r="79" spans="1:20">
      <c r="A79" s="211"/>
      <c r="B79" s="211"/>
      <c r="C79" s="211"/>
      <c r="D79" s="211"/>
      <c r="E79" s="211"/>
      <c r="F79" s="486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</row>
    <row r="80" spans="1:20">
      <c r="A80" s="211"/>
      <c r="B80" s="211"/>
      <c r="C80" s="211"/>
      <c r="D80" s="211"/>
      <c r="E80" s="211"/>
      <c r="F80" s="486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</row>
    <row r="81" spans="1:20">
      <c r="A81" s="211"/>
      <c r="B81" s="211"/>
      <c r="C81" s="211"/>
      <c r="D81" s="211"/>
      <c r="E81" s="211"/>
      <c r="F81" s="486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</row>
    <row r="82" spans="1:20">
      <c r="A82" s="211"/>
      <c r="B82" s="211"/>
      <c r="C82" s="211"/>
      <c r="D82" s="211"/>
      <c r="E82" s="211"/>
      <c r="F82" s="486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</row>
    <row r="83" spans="1:20">
      <c r="A83" s="211"/>
      <c r="B83" s="211"/>
      <c r="C83" s="211"/>
      <c r="D83" s="211"/>
      <c r="E83" s="211"/>
      <c r="F83" s="486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</row>
    <row r="84" spans="1:20">
      <c r="A84" s="211"/>
      <c r="B84" s="211"/>
      <c r="C84" s="211"/>
      <c r="D84" s="211"/>
      <c r="E84" s="211"/>
      <c r="F84" s="486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</row>
    <row r="85" spans="1:20">
      <c r="A85" s="211"/>
      <c r="B85" s="211"/>
      <c r="C85" s="211"/>
      <c r="D85" s="211"/>
      <c r="E85" s="211"/>
      <c r="F85" s="486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</row>
    <row r="86" spans="1:20">
      <c r="A86" s="211"/>
      <c r="B86" s="211"/>
      <c r="C86" s="211"/>
      <c r="D86" s="211"/>
      <c r="E86" s="211"/>
      <c r="F86" s="486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</row>
    <row r="87" spans="1:20">
      <c r="A87" s="211"/>
      <c r="B87" s="211"/>
      <c r="C87" s="211"/>
      <c r="D87" s="211"/>
      <c r="E87" s="211"/>
      <c r="F87" s="486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</row>
    <row r="88" spans="1:20">
      <c r="A88" s="211"/>
      <c r="B88" s="211"/>
      <c r="C88" s="211"/>
      <c r="D88" s="211"/>
      <c r="E88" s="211"/>
      <c r="F88" s="486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</row>
    <row r="89" spans="1:20">
      <c r="A89" s="211"/>
      <c r="B89" s="211"/>
      <c r="C89" s="211"/>
      <c r="D89" s="211"/>
      <c r="E89" s="211"/>
      <c r="F89" s="486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</row>
    <row r="90" spans="1:20">
      <c r="A90" s="211"/>
      <c r="B90" s="211"/>
      <c r="C90" s="211"/>
      <c r="D90" s="211"/>
      <c r="E90" s="211"/>
      <c r="F90" s="486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</row>
    <row r="91" spans="1:20">
      <c r="A91" s="211"/>
      <c r="B91" s="211"/>
      <c r="C91" s="211"/>
      <c r="D91" s="211"/>
      <c r="E91" s="211"/>
      <c r="F91" s="486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</row>
    <row r="92" spans="1:20">
      <c r="A92" s="211"/>
      <c r="B92" s="211"/>
      <c r="C92" s="211"/>
      <c r="D92" s="211"/>
      <c r="E92" s="211"/>
      <c r="F92" s="486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</row>
    <row r="93" spans="1:20">
      <c r="A93" s="211"/>
      <c r="B93" s="211"/>
      <c r="C93" s="211"/>
      <c r="D93" s="211"/>
      <c r="E93" s="211"/>
      <c r="F93" s="486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</row>
    <row r="94" spans="1:20">
      <c r="A94" s="211"/>
      <c r="B94" s="211"/>
      <c r="C94" s="211"/>
      <c r="D94" s="211"/>
      <c r="E94" s="211"/>
      <c r="F94" s="486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</row>
    <row r="95" spans="1:20">
      <c r="A95" s="211"/>
      <c r="B95" s="211"/>
      <c r="C95" s="211"/>
      <c r="D95" s="211"/>
      <c r="E95" s="211"/>
      <c r="F95" s="486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</row>
    <row r="96" spans="1:20">
      <c r="A96" s="211"/>
      <c r="B96" s="211"/>
      <c r="C96" s="211"/>
      <c r="D96" s="211"/>
      <c r="E96" s="211"/>
      <c r="F96" s="486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</row>
    <row r="97" spans="1:20">
      <c r="A97" s="211"/>
      <c r="B97" s="211"/>
      <c r="C97" s="211"/>
      <c r="D97" s="211"/>
      <c r="E97" s="211"/>
      <c r="F97" s="486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</row>
    <row r="98" spans="1:20">
      <c r="A98" s="211"/>
      <c r="B98" s="211"/>
      <c r="C98" s="211"/>
      <c r="D98" s="211"/>
      <c r="E98" s="211"/>
      <c r="F98" s="486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</row>
    <row r="99" spans="1:20">
      <c r="A99" s="211"/>
      <c r="B99" s="211"/>
      <c r="C99" s="211"/>
      <c r="D99" s="211"/>
      <c r="E99" s="211"/>
      <c r="F99" s="486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</row>
    <row r="100" spans="1:20">
      <c r="A100" s="211"/>
      <c r="B100" s="211"/>
      <c r="C100" s="211"/>
      <c r="D100" s="211"/>
      <c r="E100" s="211"/>
      <c r="F100" s="486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</row>
    <row r="101" spans="1:20">
      <c r="A101" s="211"/>
      <c r="B101" s="211"/>
      <c r="C101" s="211"/>
      <c r="D101" s="211"/>
      <c r="E101" s="211"/>
      <c r="F101" s="486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</row>
    <row r="102" spans="1:20">
      <c r="A102" s="211"/>
      <c r="B102" s="211"/>
      <c r="C102" s="211"/>
      <c r="D102" s="211"/>
      <c r="E102" s="211"/>
      <c r="F102" s="486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</row>
    <row r="103" spans="1:20">
      <c r="A103" s="211"/>
      <c r="B103" s="211"/>
      <c r="C103" s="211"/>
      <c r="D103" s="211"/>
      <c r="E103" s="211"/>
      <c r="F103" s="486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</row>
    <row r="104" spans="1:20">
      <c r="A104" s="211"/>
      <c r="B104" s="211"/>
      <c r="C104" s="211"/>
      <c r="D104" s="211"/>
      <c r="E104" s="211"/>
      <c r="F104" s="486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</row>
    <row r="105" spans="1:20">
      <c r="A105" s="211"/>
      <c r="B105" s="211"/>
      <c r="C105" s="211"/>
      <c r="D105" s="211"/>
      <c r="E105" s="211"/>
      <c r="F105" s="486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</row>
    <row r="106" spans="1:20">
      <c r="A106" s="211"/>
      <c r="B106" s="211"/>
      <c r="C106" s="211"/>
      <c r="D106" s="211"/>
      <c r="E106" s="211"/>
      <c r="F106" s="486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</row>
    <row r="107" spans="1:20">
      <c r="A107" s="211"/>
      <c r="B107" s="211"/>
      <c r="C107" s="211"/>
      <c r="D107" s="211"/>
      <c r="E107" s="211"/>
      <c r="F107" s="486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</row>
    <row r="108" spans="1:20">
      <c r="A108" s="211"/>
      <c r="B108" s="211"/>
      <c r="C108" s="211"/>
      <c r="D108" s="211"/>
      <c r="E108" s="211"/>
      <c r="F108" s="486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</row>
    <row r="109" spans="1:20">
      <c r="A109" s="211"/>
      <c r="B109" s="211"/>
      <c r="C109" s="211"/>
      <c r="D109" s="211"/>
      <c r="E109" s="211"/>
      <c r="F109" s="486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</row>
    <row r="110" spans="1:20">
      <c r="A110" s="211"/>
      <c r="B110" s="211"/>
      <c r="C110" s="211"/>
      <c r="D110" s="211"/>
      <c r="E110" s="211"/>
      <c r="F110" s="486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</row>
    <row r="111" spans="1:20">
      <c r="A111" s="211"/>
      <c r="B111" s="211"/>
      <c r="C111" s="211"/>
      <c r="D111" s="211"/>
      <c r="E111" s="211"/>
      <c r="F111" s="486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</row>
    <row r="112" spans="1:20">
      <c r="A112" s="211"/>
      <c r="B112" s="211"/>
      <c r="C112" s="211"/>
      <c r="D112" s="211"/>
      <c r="E112" s="211"/>
      <c r="F112" s="486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</row>
    <row r="113" spans="1:20">
      <c r="A113" s="211"/>
      <c r="B113" s="211"/>
      <c r="C113" s="211"/>
      <c r="D113" s="211"/>
      <c r="E113" s="211"/>
      <c r="F113" s="486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</row>
    <row r="114" spans="1:20">
      <c r="A114" s="211"/>
      <c r="B114" s="211"/>
      <c r="C114" s="211"/>
      <c r="D114" s="211"/>
      <c r="E114" s="211"/>
      <c r="F114" s="486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</row>
    <row r="115" spans="1:20">
      <c r="A115" s="211"/>
      <c r="B115" s="211"/>
      <c r="C115" s="211"/>
      <c r="D115" s="211"/>
      <c r="E115" s="211"/>
      <c r="F115" s="486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</row>
    <row r="116" spans="1:20">
      <c r="A116" s="211"/>
      <c r="B116" s="211"/>
      <c r="C116" s="211"/>
      <c r="D116" s="211"/>
      <c r="E116" s="211"/>
      <c r="F116" s="486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</row>
    <row r="117" spans="1:20">
      <c r="A117" s="211"/>
      <c r="B117" s="211"/>
      <c r="C117" s="211"/>
      <c r="D117" s="211"/>
      <c r="E117" s="211"/>
      <c r="F117" s="486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</row>
    <row r="118" spans="1:20">
      <c r="A118" s="211"/>
      <c r="B118" s="211"/>
      <c r="C118" s="211"/>
      <c r="D118" s="211"/>
      <c r="E118" s="211"/>
      <c r="F118" s="486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</row>
    <row r="119" spans="1:20">
      <c r="A119" s="211"/>
      <c r="B119" s="211"/>
      <c r="C119" s="211"/>
      <c r="D119" s="211"/>
      <c r="E119" s="211"/>
      <c r="F119" s="486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</row>
    <row r="120" spans="1:20">
      <c r="A120" s="211"/>
      <c r="B120" s="211"/>
      <c r="C120" s="211"/>
      <c r="D120" s="211"/>
      <c r="E120" s="211"/>
      <c r="F120" s="486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</row>
    <row r="121" spans="1:20">
      <c r="A121" s="211"/>
      <c r="B121" s="211"/>
      <c r="C121" s="211"/>
      <c r="D121" s="211"/>
      <c r="E121" s="211"/>
      <c r="F121" s="486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</row>
    <row r="122" spans="1:20">
      <c r="A122" s="211"/>
      <c r="B122" s="211"/>
      <c r="C122" s="211"/>
      <c r="D122" s="211"/>
      <c r="E122" s="211"/>
      <c r="F122" s="486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</row>
    <row r="123" spans="1:20">
      <c r="A123" s="211"/>
      <c r="B123" s="211"/>
      <c r="C123" s="211"/>
      <c r="D123" s="211"/>
      <c r="E123" s="211"/>
      <c r="F123" s="486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</row>
    <row r="124" spans="1:20">
      <c r="A124" s="211"/>
      <c r="B124" s="211"/>
      <c r="C124" s="211"/>
      <c r="D124" s="211"/>
      <c r="E124" s="211"/>
      <c r="F124" s="486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</row>
    <row r="125" spans="1:20">
      <c r="A125" s="211"/>
      <c r="B125" s="211"/>
      <c r="C125" s="211"/>
      <c r="D125" s="211"/>
      <c r="E125" s="211"/>
      <c r="F125" s="486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</row>
    <row r="126" spans="1:20">
      <c r="A126" s="211"/>
      <c r="B126" s="211"/>
      <c r="C126" s="211"/>
      <c r="D126" s="211"/>
      <c r="E126" s="211"/>
      <c r="F126" s="486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</row>
    <row r="127" spans="1:20">
      <c r="A127" s="211"/>
      <c r="B127" s="211"/>
      <c r="C127" s="211"/>
      <c r="D127" s="211"/>
      <c r="E127" s="211"/>
      <c r="F127" s="486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</row>
    <row r="128" spans="1:20">
      <c r="A128" s="211"/>
      <c r="B128" s="211"/>
      <c r="C128" s="211"/>
      <c r="D128" s="211"/>
      <c r="E128" s="211"/>
      <c r="F128" s="486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</row>
    <row r="129" spans="1:20">
      <c r="A129" s="211"/>
      <c r="B129" s="211"/>
      <c r="C129" s="211"/>
      <c r="D129" s="211"/>
      <c r="E129" s="211"/>
      <c r="F129" s="486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</row>
    <row r="130" spans="1:20">
      <c r="A130" s="211"/>
      <c r="B130" s="211"/>
      <c r="C130" s="211"/>
      <c r="D130" s="211"/>
      <c r="E130" s="211"/>
      <c r="F130" s="486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</row>
    <row r="131" spans="1:20">
      <c r="A131" s="211"/>
      <c r="B131" s="211"/>
      <c r="C131" s="211"/>
      <c r="D131" s="211"/>
      <c r="E131" s="211"/>
      <c r="F131" s="486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</row>
    <row r="132" spans="1:20">
      <c r="A132" s="211"/>
      <c r="B132" s="211"/>
      <c r="C132" s="211"/>
      <c r="D132" s="211"/>
      <c r="E132" s="211"/>
      <c r="F132" s="486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</row>
    <row r="133" spans="1:20">
      <c r="A133" s="211"/>
      <c r="B133" s="211"/>
      <c r="C133" s="211"/>
      <c r="D133" s="211"/>
      <c r="E133" s="211"/>
      <c r="F133" s="486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</row>
    <row r="134" spans="1:20">
      <c r="A134" s="211"/>
      <c r="B134" s="211"/>
      <c r="C134" s="211"/>
      <c r="D134" s="211"/>
      <c r="E134" s="211"/>
      <c r="F134" s="486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</row>
    <row r="135" spans="1:20">
      <c r="A135" s="211"/>
      <c r="B135" s="211"/>
      <c r="C135" s="211"/>
      <c r="D135" s="211"/>
      <c r="E135" s="211"/>
      <c r="F135" s="486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</row>
    <row r="136" spans="1:20">
      <c r="A136" s="211"/>
      <c r="B136" s="211"/>
      <c r="C136" s="211"/>
      <c r="D136" s="211"/>
      <c r="E136" s="211"/>
      <c r="F136" s="486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</row>
    <row r="137" spans="1:20">
      <c r="A137" s="211"/>
      <c r="B137" s="211"/>
      <c r="C137" s="211"/>
      <c r="D137" s="211"/>
      <c r="E137" s="211"/>
      <c r="F137" s="486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</row>
    <row r="138" spans="1:20">
      <c r="A138" s="211"/>
      <c r="B138" s="211"/>
      <c r="C138" s="211"/>
      <c r="D138" s="211"/>
      <c r="E138" s="211"/>
      <c r="F138" s="486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</row>
    <row r="139" spans="1:20">
      <c r="A139" s="211"/>
      <c r="B139" s="211"/>
      <c r="C139" s="211"/>
      <c r="D139" s="211"/>
      <c r="E139" s="211"/>
      <c r="F139" s="486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</row>
    <row r="140" spans="1:20">
      <c r="A140" s="211"/>
      <c r="B140" s="211"/>
      <c r="C140" s="211"/>
      <c r="D140" s="211"/>
      <c r="E140" s="211"/>
      <c r="F140" s="486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</row>
    <row r="141" spans="1:20">
      <c r="A141" s="211"/>
      <c r="B141" s="211"/>
      <c r="C141" s="211"/>
      <c r="D141" s="211"/>
      <c r="E141" s="211"/>
      <c r="F141" s="486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</row>
    <row r="142" spans="1:20">
      <c r="A142" s="211"/>
      <c r="B142" s="211"/>
      <c r="C142" s="211"/>
      <c r="D142" s="211"/>
      <c r="E142" s="211"/>
      <c r="F142" s="486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</row>
    <row r="143" spans="1:20">
      <c r="A143" s="211"/>
      <c r="B143" s="211"/>
      <c r="C143" s="211"/>
      <c r="D143" s="211"/>
      <c r="E143" s="211"/>
      <c r="F143" s="486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</row>
    <row r="144" spans="1:20">
      <c r="A144" s="211"/>
      <c r="B144" s="211"/>
      <c r="C144" s="211"/>
      <c r="D144" s="211"/>
      <c r="E144" s="211"/>
      <c r="F144" s="486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</row>
    <row r="145" spans="1:20">
      <c r="A145" s="211"/>
      <c r="B145" s="211"/>
      <c r="C145" s="211"/>
      <c r="D145" s="211"/>
      <c r="E145" s="211"/>
      <c r="F145" s="486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</row>
    <row r="146" spans="1:20">
      <c r="A146" s="211"/>
      <c r="B146" s="211"/>
      <c r="C146" s="211"/>
      <c r="D146" s="211"/>
      <c r="E146" s="211"/>
      <c r="F146" s="486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</row>
    <row r="147" spans="1:20">
      <c r="A147" s="211"/>
      <c r="B147" s="211"/>
      <c r="C147" s="211"/>
      <c r="D147" s="211"/>
      <c r="E147" s="211"/>
      <c r="F147" s="486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</row>
    <row r="148" spans="1:20">
      <c r="A148" s="211"/>
      <c r="B148" s="211"/>
      <c r="C148" s="211"/>
      <c r="D148" s="211"/>
      <c r="E148" s="211"/>
      <c r="F148" s="486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</row>
    <row r="149" spans="1:20">
      <c r="A149" s="211"/>
      <c r="B149" s="211"/>
      <c r="C149" s="211"/>
      <c r="D149" s="211"/>
      <c r="E149" s="211"/>
      <c r="F149" s="486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</row>
    <row r="150" spans="1:20">
      <c r="A150" s="211"/>
      <c r="B150" s="211"/>
      <c r="C150" s="211"/>
      <c r="D150" s="211"/>
      <c r="E150" s="211"/>
      <c r="F150" s="486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</row>
    <row r="151" spans="1:20">
      <c r="A151" s="211"/>
      <c r="B151" s="211"/>
      <c r="C151" s="211"/>
      <c r="D151" s="211"/>
      <c r="E151" s="211"/>
      <c r="F151" s="486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</row>
    <row r="152" spans="1:20">
      <c r="A152" s="211"/>
      <c r="B152" s="211"/>
      <c r="C152" s="211"/>
      <c r="D152" s="211"/>
      <c r="E152" s="211"/>
      <c r="F152" s="486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</row>
    <row r="153" spans="1:20">
      <c r="A153" s="211"/>
      <c r="B153" s="211"/>
      <c r="C153" s="211"/>
      <c r="D153" s="211"/>
      <c r="E153" s="211"/>
      <c r="F153" s="486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</row>
    <row r="154" spans="1:20">
      <c r="A154" s="211"/>
      <c r="B154" s="211"/>
      <c r="C154" s="211"/>
      <c r="D154" s="211"/>
      <c r="E154" s="211"/>
      <c r="F154" s="486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</row>
    <row r="155" spans="1:20">
      <c r="A155" s="211"/>
      <c r="B155" s="211"/>
      <c r="C155" s="211"/>
      <c r="D155" s="211"/>
      <c r="E155" s="211"/>
      <c r="F155" s="486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</row>
    <row r="156" spans="1:20">
      <c r="A156" s="211"/>
      <c r="B156" s="211"/>
      <c r="C156" s="211"/>
      <c r="D156" s="211"/>
      <c r="E156" s="211"/>
      <c r="F156" s="486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</row>
    <row r="157" spans="1:20">
      <c r="A157" s="211"/>
      <c r="B157" s="211"/>
      <c r="C157" s="211"/>
      <c r="D157" s="211"/>
      <c r="E157" s="211"/>
      <c r="F157" s="486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</row>
    <row r="158" spans="1:20">
      <c r="A158" s="211"/>
      <c r="B158" s="211"/>
      <c r="C158" s="211"/>
      <c r="D158" s="211"/>
      <c r="E158" s="211"/>
      <c r="F158" s="486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</row>
    <row r="159" spans="1:20">
      <c r="A159" s="211"/>
      <c r="B159" s="211"/>
      <c r="C159" s="211"/>
      <c r="D159" s="211"/>
      <c r="E159" s="211"/>
      <c r="F159" s="486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</row>
    <row r="160" spans="1:20">
      <c r="A160" s="211"/>
      <c r="B160" s="211"/>
      <c r="C160" s="211"/>
      <c r="D160" s="211"/>
      <c r="E160" s="211"/>
      <c r="F160" s="486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</row>
    <row r="161" spans="1:20">
      <c r="A161" s="211"/>
      <c r="B161" s="211"/>
      <c r="C161" s="211"/>
      <c r="D161" s="211"/>
      <c r="E161" s="211"/>
      <c r="F161" s="486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</row>
    <row r="162" spans="1:20">
      <c r="A162" s="211"/>
      <c r="B162" s="211"/>
      <c r="C162" s="211"/>
      <c r="D162" s="211"/>
      <c r="E162" s="211"/>
      <c r="F162" s="486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</row>
    <row r="163" spans="1:20">
      <c r="A163" s="211"/>
      <c r="B163" s="211"/>
      <c r="C163" s="211"/>
      <c r="D163" s="211"/>
      <c r="E163" s="211"/>
      <c r="F163" s="486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</row>
    <row r="164" spans="1:20">
      <c r="A164" s="211"/>
      <c r="B164" s="211"/>
      <c r="C164" s="211"/>
      <c r="D164" s="211"/>
      <c r="E164" s="211"/>
      <c r="F164" s="486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</row>
    <row r="165" spans="1:20">
      <c r="A165" s="211"/>
      <c r="B165" s="211"/>
      <c r="C165" s="211"/>
      <c r="D165" s="211"/>
      <c r="E165" s="211"/>
      <c r="F165" s="486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</row>
    <row r="166" spans="1:20">
      <c r="A166" s="211"/>
      <c r="B166" s="211"/>
      <c r="C166" s="211"/>
      <c r="D166" s="211"/>
      <c r="E166" s="211"/>
      <c r="F166" s="486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</row>
    <row r="167" spans="1:20">
      <c r="A167" s="211"/>
      <c r="B167" s="211"/>
      <c r="C167" s="211"/>
      <c r="D167" s="211"/>
      <c r="E167" s="211"/>
      <c r="F167" s="486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</row>
    <row r="168" spans="1:20">
      <c r="A168" s="211"/>
      <c r="B168" s="211"/>
      <c r="C168" s="211"/>
      <c r="D168" s="211"/>
      <c r="E168" s="211"/>
      <c r="F168" s="486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</row>
    <row r="169" spans="1:20">
      <c r="A169" s="211"/>
      <c r="B169" s="211"/>
      <c r="C169" s="211"/>
      <c r="D169" s="211"/>
      <c r="E169" s="211"/>
      <c r="F169" s="486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</row>
    <row r="170" spans="1:20">
      <c r="A170" s="211"/>
      <c r="B170" s="211"/>
      <c r="C170" s="211"/>
      <c r="D170" s="211"/>
      <c r="E170" s="211"/>
      <c r="F170" s="486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</row>
    <row r="171" spans="1:20">
      <c r="A171" s="211"/>
      <c r="B171" s="211"/>
      <c r="C171" s="211"/>
      <c r="D171" s="211"/>
      <c r="E171" s="211"/>
      <c r="F171" s="486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</row>
    <row r="172" spans="1:20">
      <c r="A172" s="211"/>
      <c r="B172" s="211"/>
      <c r="C172" s="211"/>
      <c r="D172" s="211"/>
      <c r="E172" s="211"/>
      <c r="F172" s="486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</row>
    <row r="173" spans="1:20">
      <c r="A173" s="211"/>
      <c r="B173" s="211"/>
      <c r="C173" s="211"/>
      <c r="D173" s="211"/>
      <c r="E173" s="211"/>
      <c r="F173" s="486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</row>
    <row r="174" spans="1:20">
      <c r="A174" s="211"/>
      <c r="B174" s="211"/>
      <c r="C174" s="211"/>
      <c r="D174" s="211"/>
      <c r="E174" s="211"/>
      <c r="F174" s="486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</row>
    <row r="175" spans="1:20">
      <c r="A175" s="211"/>
      <c r="B175" s="211"/>
      <c r="C175" s="211"/>
      <c r="D175" s="211"/>
      <c r="E175" s="211"/>
      <c r="F175" s="486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</row>
    <row r="176" spans="1:20">
      <c r="A176" s="211"/>
      <c r="B176" s="211"/>
      <c r="C176" s="211"/>
      <c r="D176" s="211"/>
      <c r="E176" s="211"/>
      <c r="F176" s="486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</row>
    <row r="177" spans="1:20">
      <c r="A177" s="211"/>
      <c r="B177" s="211"/>
      <c r="C177" s="211"/>
      <c r="D177" s="211"/>
      <c r="E177" s="211"/>
      <c r="F177" s="486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</row>
    <row r="178" spans="1:20">
      <c r="A178" s="211"/>
      <c r="B178" s="211"/>
      <c r="C178" s="211"/>
      <c r="D178" s="211"/>
      <c r="E178" s="211"/>
      <c r="F178" s="486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</row>
    <row r="179" spans="1:20">
      <c r="A179" s="211"/>
      <c r="B179" s="211"/>
      <c r="C179" s="211"/>
      <c r="D179" s="211"/>
      <c r="E179" s="211"/>
      <c r="F179" s="486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</row>
    <row r="180" spans="1:20">
      <c r="A180" s="211"/>
      <c r="B180" s="211"/>
      <c r="C180" s="211"/>
      <c r="D180" s="211"/>
      <c r="E180" s="211"/>
      <c r="F180" s="486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</row>
    <row r="181" spans="1:20">
      <c r="A181" s="211"/>
      <c r="B181" s="211"/>
      <c r="C181" s="211"/>
      <c r="D181" s="211"/>
      <c r="E181" s="211"/>
      <c r="F181" s="486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</row>
    <row r="182" spans="1:20">
      <c r="A182" s="211"/>
      <c r="B182" s="211"/>
      <c r="C182" s="211"/>
      <c r="D182" s="211"/>
      <c r="E182" s="211"/>
      <c r="F182" s="486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</row>
    <row r="183" spans="1:20">
      <c r="A183" s="211"/>
      <c r="B183" s="211"/>
      <c r="C183" s="211"/>
      <c r="D183" s="211"/>
      <c r="E183" s="211"/>
      <c r="F183" s="486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</row>
    <row r="184" spans="1:20">
      <c r="A184" s="211"/>
      <c r="B184" s="211"/>
      <c r="C184" s="211"/>
      <c r="D184" s="211"/>
      <c r="E184" s="211"/>
      <c r="F184" s="486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</row>
    <row r="185" spans="1:20">
      <c r="A185" s="211"/>
      <c r="B185" s="211"/>
      <c r="C185" s="211"/>
      <c r="D185" s="211"/>
      <c r="E185" s="211"/>
      <c r="F185" s="486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</row>
    <row r="186" spans="1:20">
      <c r="A186" s="211"/>
      <c r="B186" s="211"/>
      <c r="C186" s="211"/>
      <c r="D186" s="211"/>
      <c r="E186" s="211"/>
      <c r="F186" s="486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</row>
    <row r="187" spans="1:20">
      <c r="A187" s="211"/>
      <c r="B187" s="211"/>
      <c r="C187" s="211"/>
      <c r="D187" s="211"/>
      <c r="E187" s="211"/>
      <c r="F187" s="486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</row>
    <row r="188" spans="1:20">
      <c r="A188" s="211"/>
      <c r="B188" s="211"/>
      <c r="C188" s="211"/>
      <c r="D188" s="211"/>
      <c r="E188" s="211"/>
      <c r="F188" s="486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</row>
    <row r="189" spans="1:20">
      <c r="A189" s="211"/>
      <c r="B189" s="211"/>
      <c r="C189" s="211"/>
      <c r="D189" s="211"/>
      <c r="E189" s="211"/>
      <c r="F189" s="486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</row>
    <row r="190" spans="1:20">
      <c r="A190" s="211"/>
      <c r="B190" s="211"/>
      <c r="C190" s="211"/>
      <c r="D190" s="211"/>
      <c r="E190" s="211"/>
      <c r="F190" s="486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</row>
    <row r="191" spans="1:20">
      <c r="A191" s="211"/>
      <c r="B191" s="211"/>
      <c r="C191" s="211"/>
      <c r="D191" s="211"/>
      <c r="E191" s="211"/>
      <c r="F191" s="486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</row>
    <row r="192" spans="1:20">
      <c r="A192" s="211"/>
      <c r="B192" s="211"/>
      <c r="C192" s="211"/>
      <c r="D192" s="211"/>
      <c r="E192" s="211"/>
      <c r="F192" s="486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</row>
    <row r="193" spans="1:20">
      <c r="A193" s="211"/>
      <c r="B193" s="211"/>
      <c r="C193" s="211"/>
      <c r="D193" s="211"/>
      <c r="E193" s="211"/>
      <c r="F193" s="486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</row>
    <row r="194" spans="1:20">
      <c r="A194" s="211"/>
      <c r="B194" s="211"/>
      <c r="C194" s="211"/>
      <c r="D194" s="211"/>
      <c r="E194" s="211"/>
      <c r="F194" s="486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</row>
    <row r="195" spans="1:20">
      <c r="A195" s="211"/>
      <c r="B195" s="211"/>
      <c r="C195" s="211"/>
      <c r="D195" s="211"/>
      <c r="E195" s="211"/>
      <c r="F195" s="486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</row>
    <row r="196" spans="1:20">
      <c r="A196" s="211"/>
      <c r="B196" s="211"/>
      <c r="C196" s="211"/>
      <c r="D196" s="211"/>
      <c r="E196" s="211"/>
      <c r="F196" s="486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</row>
    <row r="197" spans="1:20">
      <c r="A197" s="211"/>
      <c r="B197" s="211"/>
      <c r="C197" s="211"/>
      <c r="D197" s="211"/>
      <c r="E197" s="211"/>
      <c r="F197" s="486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</row>
    <row r="198" spans="1:20">
      <c r="A198" s="211"/>
      <c r="B198" s="211"/>
      <c r="C198" s="211"/>
      <c r="D198" s="211"/>
      <c r="E198" s="211"/>
      <c r="F198" s="486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</row>
    <row r="199" spans="1:20">
      <c r="A199" s="211"/>
      <c r="B199" s="211"/>
      <c r="C199" s="211"/>
      <c r="D199" s="211"/>
      <c r="E199" s="211"/>
      <c r="F199" s="486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</row>
    <row r="200" spans="1:20">
      <c r="A200" s="211"/>
      <c r="B200" s="211"/>
      <c r="C200" s="211"/>
      <c r="D200" s="211"/>
      <c r="E200" s="211"/>
      <c r="F200" s="486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</row>
    <row r="201" spans="1:20">
      <c r="A201" s="211"/>
      <c r="B201" s="211"/>
      <c r="C201" s="211"/>
      <c r="D201" s="211"/>
      <c r="E201" s="211"/>
      <c r="F201" s="486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</row>
    <row r="202" spans="1:20">
      <c r="A202" s="211"/>
      <c r="B202" s="211"/>
      <c r="C202" s="211"/>
      <c r="D202" s="211"/>
      <c r="E202" s="211"/>
      <c r="F202" s="486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</row>
    <row r="203" spans="1:20">
      <c r="A203" s="211"/>
      <c r="B203" s="211"/>
      <c r="C203" s="211"/>
      <c r="D203" s="211"/>
      <c r="E203" s="211"/>
      <c r="F203" s="486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</row>
    <row r="204" spans="1:20">
      <c r="A204" s="211"/>
      <c r="B204" s="211"/>
      <c r="C204" s="211"/>
      <c r="D204" s="211"/>
      <c r="E204" s="211"/>
      <c r="F204" s="486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</row>
    <row r="205" spans="1:20">
      <c r="A205" s="211"/>
      <c r="B205" s="211"/>
      <c r="C205" s="211"/>
      <c r="D205" s="211"/>
      <c r="E205" s="211"/>
      <c r="F205" s="486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</row>
    <row r="206" spans="1:20">
      <c r="A206" s="211"/>
      <c r="B206" s="211"/>
      <c r="C206" s="211"/>
      <c r="D206" s="211"/>
      <c r="E206" s="211"/>
      <c r="F206" s="486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</row>
    <row r="207" spans="1:20">
      <c r="A207" s="211"/>
      <c r="B207" s="211"/>
      <c r="C207" s="211"/>
      <c r="D207" s="211"/>
      <c r="E207" s="211"/>
      <c r="F207" s="486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</row>
    <row r="208" spans="1:20">
      <c r="A208" s="211"/>
      <c r="B208" s="211"/>
      <c r="C208" s="211"/>
      <c r="D208" s="211"/>
      <c r="E208" s="211"/>
      <c r="F208" s="486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</row>
    <row r="209" spans="1:20">
      <c r="A209" s="211"/>
      <c r="B209" s="211"/>
      <c r="C209" s="211"/>
      <c r="D209" s="211"/>
      <c r="E209" s="211"/>
      <c r="F209" s="486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</row>
    <row r="210" spans="1:20">
      <c r="A210" s="211"/>
      <c r="B210" s="211"/>
      <c r="C210" s="211"/>
      <c r="D210" s="211"/>
      <c r="E210" s="211"/>
      <c r="F210" s="486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</row>
    <row r="211" spans="1:20">
      <c r="A211" s="211"/>
      <c r="B211" s="211"/>
      <c r="C211" s="211"/>
      <c r="D211" s="211"/>
      <c r="E211" s="211"/>
      <c r="F211" s="486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</row>
    <row r="212" spans="1:20">
      <c r="A212" s="211"/>
      <c r="B212" s="211"/>
      <c r="C212" s="211"/>
      <c r="D212" s="211"/>
      <c r="E212" s="211"/>
      <c r="F212" s="486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</row>
    <row r="213" spans="1:20">
      <c r="A213" s="211"/>
      <c r="B213" s="211"/>
      <c r="C213" s="211"/>
      <c r="D213" s="211"/>
      <c r="E213" s="211"/>
      <c r="F213" s="486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</row>
    <row r="214" spans="1:20">
      <c r="A214" s="211"/>
      <c r="B214" s="211"/>
      <c r="C214" s="211"/>
      <c r="D214" s="211"/>
      <c r="E214" s="211"/>
      <c r="F214" s="486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</row>
    <row r="215" spans="1:20">
      <c r="A215" s="211"/>
      <c r="B215" s="211"/>
      <c r="C215" s="211"/>
      <c r="D215" s="211"/>
      <c r="E215" s="211"/>
      <c r="F215" s="486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</row>
    <row r="216" spans="1:20">
      <c r="A216" s="211"/>
      <c r="B216" s="211"/>
      <c r="C216" s="211"/>
      <c r="D216" s="211"/>
      <c r="E216" s="211"/>
      <c r="F216" s="486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</row>
    <row r="217" spans="1:20">
      <c r="A217" s="211"/>
      <c r="B217" s="211"/>
      <c r="C217" s="211"/>
      <c r="D217" s="211"/>
      <c r="E217" s="211"/>
      <c r="F217" s="486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</row>
    <row r="218" spans="1:20">
      <c r="A218" s="211"/>
      <c r="B218" s="211"/>
      <c r="C218" s="211"/>
      <c r="D218" s="211"/>
      <c r="E218" s="211"/>
      <c r="F218" s="486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</row>
    <row r="219" spans="1:20">
      <c r="A219" s="211"/>
      <c r="B219" s="211"/>
      <c r="C219" s="211"/>
      <c r="D219" s="211"/>
      <c r="E219" s="211"/>
      <c r="F219" s="486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</row>
    <row r="220" spans="1:20">
      <c r="A220" s="211"/>
      <c r="B220" s="211"/>
      <c r="C220" s="211"/>
      <c r="D220" s="211"/>
      <c r="E220" s="211"/>
      <c r="F220" s="486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</row>
    <row r="221" spans="1:20">
      <c r="A221" s="211"/>
      <c r="B221" s="211"/>
      <c r="C221" s="211"/>
      <c r="D221" s="211"/>
      <c r="E221" s="211"/>
      <c r="F221" s="486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</row>
    <row r="222" spans="1:20">
      <c r="A222" s="211"/>
      <c r="B222" s="211"/>
      <c r="C222" s="211"/>
      <c r="D222" s="211"/>
      <c r="E222" s="211"/>
      <c r="F222" s="486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</row>
    <row r="223" spans="1:20">
      <c r="A223" s="211"/>
      <c r="B223" s="211"/>
      <c r="C223" s="211"/>
      <c r="D223" s="211"/>
      <c r="E223" s="211"/>
      <c r="F223" s="486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</row>
    <row r="224" spans="1:20">
      <c r="A224" s="211"/>
      <c r="B224" s="211"/>
      <c r="C224" s="211"/>
      <c r="D224" s="211"/>
      <c r="E224" s="211"/>
      <c r="F224" s="486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</row>
    <row r="225" spans="1:20">
      <c r="A225" s="211"/>
      <c r="B225" s="211"/>
      <c r="C225" s="211"/>
      <c r="D225" s="211"/>
      <c r="E225" s="211"/>
      <c r="F225" s="486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</row>
    <row r="226" spans="1:20">
      <c r="A226" s="211"/>
      <c r="B226" s="211"/>
      <c r="C226" s="211"/>
      <c r="D226" s="211"/>
      <c r="E226" s="211"/>
      <c r="F226" s="486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</row>
    <row r="227" spans="1:20">
      <c r="A227" s="211"/>
      <c r="B227" s="211"/>
      <c r="C227" s="211"/>
      <c r="D227" s="211"/>
      <c r="E227" s="211"/>
      <c r="F227" s="486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</row>
    <row r="228" spans="1:20">
      <c r="A228" s="211"/>
      <c r="B228" s="211"/>
      <c r="C228" s="211"/>
      <c r="D228" s="211"/>
      <c r="E228" s="211"/>
      <c r="F228" s="486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</row>
    <row r="229" spans="1:20">
      <c r="A229" s="211"/>
      <c r="B229" s="211"/>
      <c r="C229" s="211"/>
      <c r="D229" s="211"/>
      <c r="E229" s="211"/>
      <c r="F229" s="486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</row>
    <row r="230" spans="1:20">
      <c r="A230" s="211"/>
      <c r="B230" s="211"/>
      <c r="C230" s="211"/>
      <c r="D230" s="211"/>
      <c r="E230" s="211"/>
      <c r="F230" s="486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</row>
    <row r="231" spans="1:20">
      <c r="A231" s="211"/>
      <c r="B231" s="211"/>
      <c r="C231" s="211"/>
      <c r="D231" s="211"/>
      <c r="E231" s="211"/>
      <c r="F231" s="486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</row>
    <row r="232" spans="1:20">
      <c r="A232" s="211"/>
      <c r="B232" s="211"/>
      <c r="C232" s="211"/>
      <c r="D232" s="211"/>
      <c r="E232" s="211"/>
      <c r="F232" s="486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</row>
    <row r="233" spans="1:20">
      <c r="A233" s="211"/>
      <c r="B233" s="211"/>
      <c r="C233" s="211"/>
      <c r="D233" s="211"/>
      <c r="E233" s="211"/>
      <c r="F233" s="486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</row>
    <row r="234" spans="1:20">
      <c r="A234" s="211"/>
      <c r="B234" s="211"/>
      <c r="C234" s="211"/>
      <c r="D234" s="211"/>
      <c r="E234" s="211"/>
      <c r="F234" s="486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</row>
    <row r="235" spans="1:20">
      <c r="A235" s="211"/>
      <c r="B235" s="211"/>
      <c r="C235" s="211"/>
      <c r="D235" s="211"/>
      <c r="E235" s="211"/>
      <c r="F235" s="486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</row>
    <row r="236" spans="1:20">
      <c r="A236" s="211"/>
      <c r="B236" s="211"/>
      <c r="C236" s="211"/>
      <c r="D236" s="211"/>
      <c r="E236" s="211"/>
      <c r="F236" s="486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</row>
    <row r="237" spans="1:20">
      <c r="A237" s="211"/>
      <c r="B237" s="211"/>
      <c r="C237" s="211"/>
      <c r="D237" s="211"/>
      <c r="E237" s="211"/>
      <c r="F237" s="486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</row>
    <row r="238" spans="1:20">
      <c r="A238" s="211"/>
      <c r="B238" s="211"/>
      <c r="C238" s="211"/>
      <c r="D238" s="211"/>
      <c r="E238" s="211"/>
      <c r="F238" s="486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</row>
    <row r="239" spans="1:20">
      <c r="A239" s="211"/>
      <c r="B239" s="211"/>
      <c r="C239" s="211"/>
      <c r="D239" s="211"/>
      <c r="E239" s="211"/>
      <c r="F239" s="486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</row>
    <row r="240" spans="1:20">
      <c r="A240" s="211"/>
      <c r="B240" s="211"/>
      <c r="C240" s="211"/>
      <c r="D240" s="211"/>
      <c r="E240" s="211"/>
      <c r="F240" s="486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</row>
    <row r="241" spans="1:20">
      <c r="A241" s="211"/>
      <c r="B241" s="211"/>
      <c r="C241" s="211"/>
      <c r="D241" s="211"/>
      <c r="E241" s="211"/>
      <c r="F241" s="486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</row>
    <row r="242" spans="1:20">
      <c r="A242" s="211"/>
      <c r="B242" s="211"/>
      <c r="C242" s="211"/>
      <c r="D242" s="211"/>
      <c r="E242" s="211"/>
      <c r="F242" s="486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</row>
    <row r="243" spans="1:20">
      <c r="A243" s="211"/>
      <c r="B243" s="211"/>
      <c r="C243" s="211"/>
      <c r="D243" s="211"/>
      <c r="E243" s="211"/>
      <c r="F243" s="486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</row>
    <row r="244" spans="1:20">
      <c r="A244" s="211"/>
      <c r="B244" s="211"/>
      <c r="C244" s="211"/>
      <c r="D244" s="211"/>
      <c r="E244" s="211"/>
      <c r="F244" s="486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</row>
    <row r="245" spans="1:20">
      <c r="A245" s="211"/>
      <c r="B245" s="211"/>
      <c r="C245" s="211"/>
      <c r="D245" s="211"/>
      <c r="E245" s="211"/>
      <c r="F245" s="486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</row>
    <row r="246" spans="1:20">
      <c r="A246" s="211"/>
      <c r="B246" s="211"/>
      <c r="C246" s="211"/>
      <c r="D246" s="211"/>
      <c r="E246" s="211"/>
      <c r="F246" s="486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</row>
    <row r="247" spans="1:20">
      <c r="A247" s="211"/>
      <c r="B247" s="211"/>
      <c r="C247" s="211"/>
      <c r="D247" s="211"/>
      <c r="E247" s="211"/>
      <c r="F247" s="486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</row>
    <row r="248" spans="1:20">
      <c r="A248" s="211"/>
      <c r="B248" s="211"/>
      <c r="C248" s="211"/>
      <c r="D248" s="211"/>
      <c r="E248" s="211"/>
      <c r="F248" s="486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</row>
    <row r="249" spans="1:20">
      <c r="A249" s="211"/>
      <c r="B249" s="211"/>
      <c r="C249" s="211"/>
      <c r="D249" s="211"/>
      <c r="E249" s="211"/>
      <c r="F249" s="486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</row>
    <row r="250" spans="1:20">
      <c r="A250" s="211"/>
      <c r="B250" s="211"/>
      <c r="C250" s="211"/>
      <c r="D250" s="211"/>
      <c r="E250" s="211"/>
      <c r="F250" s="486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</row>
    <row r="251" spans="1:20">
      <c r="A251" s="211"/>
      <c r="B251" s="211"/>
      <c r="C251" s="211"/>
      <c r="D251" s="211"/>
      <c r="E251" s="211"/>
      <c r="F251" s="486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</row>
    <row r="252" spans="1:20">
      <c r="A252" s="211"/>
      <c r="B252" s="211"/>
      <c r="C252" s="211"/>
      <c r="D252" s="211"/>
      <c r="E252" s="211"/>
      <c r="F252" s="486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</row>
    <row r="253" spans="1:20">
      <c r="A253" s="211"/>
      <c r="B253" s="211"/>
      <c r="C253" s="211"/>
      <c r="D253" s="211"/>
      <c r="E253" s="211"/>
      <c r="F253" s="486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</row>
    <row r="254" spans="1:20">
      <c r="A254" s="211"/>
      <c r="B254" s="211"/>
      <c r="C254" s="211"/>
      <c r="D254" s="211"/>
      <c r="E254" s="211"/>
      <c r="F254" s="486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</row>
    <row r="255" spans="1:20">
      <c r="A255" s="211"/>
      <c r="B255" s="211"/>
      <c r="C255" s="211"/>
      <c r="D255" s="211"/>
      <c r="E255" s="211"/>
      <c r="F255" s="486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</row>
    <row r="256" spans="1:20">
      <c r="A256" s="211"/>
      <c r="B256" s="211"/>
      <c r="C256" s="211"/>
      <c r="D256" s="211"/>
      <c r="E256" s="211"/>
      <c r="F256" s="486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</row>
    <row r="257" spans="1:20">
      <c r="A257" s="211"/>
      <c r="B257" s="211"/>
      <c r="C257" s="211"/>
      <c r="D257" s="211"/>
      <c r="E257" s="211"/>
      <c r="F257" s="486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</row>
    <row r="258" spans="1:20">
      <c r="A258" s="211"/>
      <c r="B258" s="211"/>
      <c r="C258" s="211"/>
      <c r="D258" s="211"/>
      <c r="E258" s="211"/>
      <c r="F258" s="486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</row>
    <row r="259" spans="1:20">
      <c r="A259" s="211"/>
      <c r="B259" s="211"/>
      <c r="C259" s="211"/>
      <c r="D259" s="211"/>
      <c r="E259" s="211"/>
      <c r="F259" s="486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</row>
    <row r="260" spans="1:20">
      <c r="A260" s="211"/>
      <c r="B260" s="211"/>
      <c r="C260" s="211"/>
      <c r="D260" s="211"/>
      <c r="E260" s="211"/>
      <c r="F260" s="486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</row>
    <row r="261" spans="1:20">
      <c r="A261" s="211"/>
      <c r="B261" s="211"/>
      <c r="C261" s="211"/>
      <c r="D261" s="211"/>
      <c r="E261" s="211"/>
      <c r="F261" s="486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</row>
    <row r="262" spans="1:20">
      <c r="A262" s="211"/>
      <c r="B262" s="211"/>
      <c r="C262" s="211"/>
      <c r="D262" s="211"/>
      <c r="E262" s="211"/>
      <c r="F262" s="486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</row>
    <row r="263" spans="1:20">
      <c r="A263" s="211"/>
      <c r="B263" s="211"/>
      <c r="C263" s="211"/>
      <c r="D263" s="211"/>
      <c r="E263" s="211"/>
      <c r="F263" s="486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</row>
    <row r="264" spans="1:20">
      <c r="A264" s="211"/>
      <c r="B264" s="211"/>
      <c r="C264" s="211"/>
      <c r="D264" s="211"/>
      <c r="E264" s="211"/>
      <c r="F264" s="486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</row>
    <row r="265" spans="1:20">
      <c r="A265" s="211"/>
      <c r="B265" s="211"/>
      <c r="C265" s="211"/>
      <c r="D265" s="211"/>
      <c r="E265" s="211"/>
      <c r="F265" s="486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</row>
    <row r="266" spans="1:20">
      <c r="A266" s="211"/>
      <c r="B266" s="211"/>
      <c r="C266" s="211"/>
      <c r="D266" s="211"/>
      <c r="E266" s="211"/>
      <c r="F266" s="486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</row>
    <row r="267" spans="1:20">
      <c r="A267" s="211"/>
      <c r="B267" s="211"/>
      <c r="C267" s="211"/>
      <c r="D267" s="211"/>
      <c r="E267" s="211"/>
      <c r="F267" s="486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</row>
    <row r="268" spans="1:20">
      <c r="A268" s="211"/>
      <c r="B268" s="211"/>
      <c r="C268" s="211"/>
      <c r="D268" s="211"/>
      <c r="E268" s="211"/>
      <c r="F268" s="486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</row>
    <row r="269" spans="1:20">
      <c r="A269" s="211"/>
      <c r="B269" s="211"/>
      <c r="C269" s="211"/>
      <c r="D269" s="211"/>
      <c r="E269" s="211"/>
      <c r="F269" s="486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</row>
    <row r="270" spans="1:20">
      <c r="A270" s="211"/>
      <c r="B270" s="211"/>
      <c r="C270" s="211"/>
      <c r="D270" s="211"/>
      <c r="E270" s="211"/>
      <c r="F270" s="486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</row>
    <row r="271" spans="1:20">
      <c r="A271" s="211"/>
      <c r="B271" s="211"/>
      <c r="C271" s="211"/>
      <c r="D271" s="211"/>
      <c r="E271" s="211"/>
      <c r="F271" s="486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</row>
    <row r="272" spans="1:20">
      <c r="A272" s="211"/>
      <c r="B272" s="211"/>
      <c r="C272" s="211"/>
      <c r="D272" s="211"/>
      <c r="E272" s="211"/>
      <c r="F272" s="486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</row>
    <row r="273" spans="1:20">
      <c r="A273" s="211"/>
      <c r="B273" s="211"/>
      <c r="C273" s="211"/>
      <c r="D273" s="211"/>
      <c r="E273" s="211"/>
      <c r="F273" s="486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</row>
    <row r="274" spans="1:20">
      <c r="A274" s="211"/>
      <c r="B274" s="211"/>
      <c r="C274" s="211"/>
      <c r="D274" s="211"/>
      <c r="E274" s="211"/>
      <c r="F274" s="486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</row>
    <row r="275" spans="1:20">
      <c r="A275" s="211"/>
      <c r="B275" s="211"/>
      <c r="C275" s="211"/>
      <c r="D275" s="211"/>
      <c r="E275" s="211"/>
      <c r="F275" s="486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</row>
    <row r="276" spans="1:20">
      <c r="A276" s="211"/>
      <c r="B276" s="211"/>
      <c r="C276" s="211"/>
      <c r="D276" s="211"/>
      <c r="E276" s="211"/>
      <c r="F276" s="486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</row>
    <row r="277" spans="1:20">
      <c r="A277" s="211"/>
      <c r="B277" s="211"/>
      <c r="C277" s="211"/>
      <c r="D277" s="211"/>
      <c r="E277" s="211"/>
      <c r="F277" s="486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</row>
    <row r="278" spans="1:20">
      <c r="A278" s="211"/>
      <c r="B278" s="211"/>
      <c r="C278" s="211"/>
      <c r="D278" s="211"/>
      <c r="E278" s="211"/>
      <c r="F278" s="486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</row>
    <row r="279" spans="1:20">
      <c r="A279" s="211"/>
      <c r="B279" s="211"/>
      <c r="C279" s="211"/>
      <c r="D279" s="211"/>
      <c r="E279" s="211"/>
      <c r="F279" s="486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</row>
    <row r="280" spans="1:20">
      <c r="A280" s="211"/>
      <c r="B280" s="211"/>
      <c r="C280" s="211"/>
      <c r="D280" s="211"/>
      <c r="E280" s="211"/>
      <c r="F280" s="486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</row>
    <row r="281" spans="1:20">
      <c r="A281" s="211"/>
      <c r="B281" s="211"/>
      <c r="C281" s="211"/>
      <c r="D281" s="211"/>
      <c r="E281" s="211"/>
      <c r="F281" s="486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</row>
    <row r="282" spans="1:20">
      <c r="A282" s="211"/>
      <c r="B282" s="211"/>
      <c r="C282" s="211"/>
      <c r="D282" s="211"/>
      <c r="E282" s="211"/>
      <c r="F282" s="486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</row>
    <row r="283" spans="1:20">
      <c r="A283" s="211"/>
      <c r="B283" s="211"/>
      <c r="C283" s="211"/>
      <c r="D283" s="211"/>
      <c r="E283" s="211"/>
      <c r="F283" s="486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</row>
    <row r="284" spans="1:20">
      <c r="A284" s="211"/>
      <c r="B284" s="211"/>
      <c r="C284" s="211"/>
      <c r="D284" s="211"/>
      <c r="E284" s="211"/>
      <c r="F284" s="486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</row>
    <row r="285" spans="1:20">
      <c r="A285" s="211"/>
      <c r="B285" s="211"/>
      <c r="C285" s="211"/>
      <c r="D285" s="211"/>
      <c r="E285" s="211"/>
      <c r="F285" s="486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</row>
    <row r="286" spans="1:20">
      <c r="A286" s="211"/>
      <c r="B286" s="211"/>
      <c r="C286" s="211"/>
      <c r="D286" s="211"/>
      <c r="E286" s="211"/>
      <c r="F286" s="486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</row>
    <row r="287" spans="1:20">
      <c r="A287" s="211"/>
      <c r="B287" s="211"/>
      <c r="C287" s="211"/>
      <c r="D287" s="211"/>
      <c r="E287" s="211"/>
      <c r="F287" s="486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</row>
    <row r="288" spans="1:20">
      <c r="A288" s="211"/>
      <c r="B288" s="211"/>
      <c r="C288" s="211"/>
      <c r="D288" s="211"/>
      <c r="E288" s="211"/>
      <c r="F288" s="486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</row>
    <row r="289" spans="1:20">
      <c r="A289" s="211"/>
      <c r="B289" s="211"/>
      <c r="C289" s="211"/>
      <c r="D289" s="211"/>
      <c r="E289" s="211"/>
      <c r="F289" s="486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</row>
    <row r="290" spans="1:20">
      <c r="A290" s="211"/>
      <c r="B290" s="211"/>
      <c r="C290" s="211"/>
      <c r="D290" s="211"/>
      <c r="E290" s="211"/>
      <c r="F290" s="486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</row>
    <row r="291" spans="1:20">
      <c r="A291" s="211"/>
      <c r="B291" s="211"/>
      <c r="C291" s="211"/>
      <c r="D291" s="211"/>
      <c r="E291" s="211"/>
      <c r="F291" s="486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</row>
    <row r="292" spans="1:20">
      <c r="A292" s="211"/>
      <c r="B292" s="211"/>
      <c r="C292" s="211"/>
      <c r="D292" s="211"/>
      <c r="E292" s="211"/>
      <c r="F292" s="486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</row>
    <row r="293" spans="1:20">
      <c r="A293" s="211"/>
      <c r="B293" s="211"/>
      <c r="C293" s="211"/>
      <c r="D293" s="211"/>
      <c r="E293" s="211"/>
      <c r="F293" s="486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</row>
    <row r="294" spans="1:20">
      <c r="A294" s="211"/>
      <c r="B294" s="211"/>
      <c r="C294" s="211"/>
      <c r="D294" s="211"/>
      <c r="E294" s="211"/>
      <c r="F294" s="486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</row>
    <row r="295" spans="1:20">
      <c r="A295" s="211"/>
      <c r="B295" s="211"/>
      <c r="C295" s="211"/>
      <c r="D295" s="211"/>
      <c r="E295" s="211"/>
      <c r="F295" s="486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</row>
    <row r="296" spans="1:20">
      <c r="A296" s="211"/>
      <c r="B296" s="211"/>
      <c r="C296" s="211"/>
      <c r="D296" s="211"/>
      <c r="E296" s="211"/>
      <c r="F296" s="486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</row>
    <row r="297" spans="1:20">
      <c r="A297" s="211"/>
      <c r="B297" s="211"/>
      <c r="C297" s="211"/>
      <c r="D297" s="211"/>
      <c r="E297" s="211"/>
      <c r="F297" s="486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</row>
    <row r="298" spans="1:20">
      <c r="A298" s="211"/>
      <c r="B298" s="211"/>
      <c r="C298" s="211"/>
      <c r="D298" s="211"/>
      <c r="E298" s="211"/>
      <c r="F298" s="486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</row>
    <row r="299" spans="1:20">
      <c r="A299" s="211"/>
      <c r="B299" s="211"/>
      <c r="C299" s="211"/>
      <c r="D299" s="211"/>
      <c r="E299" s="211"/>
      <c r="F299" s="486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</row>
    <row r="300" spans="1:20">
      <c r="A300" s="211"/>
      <c r="B300" s="211"/>
      <c r="C300" s="211"/>
      <c r="D300" s="211"/>
      <c r="E300" s="211"/>
      <c r="F300" s="486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</row>
    <row r="301" spans="1:20">
      <c r="A301" s="211"/>
      <c r="B301" s="211"/>
      <c r="C301" s="211"/>
      <c r="D301" s="211"/>
      <c r="E301" s="211"/>
      <c r="F301" s="486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</row>
    <row r="302" spans="1:20">
      <c r="A302" s="211"/>
      <c r="B302" s="211"/>
      <c r="C302" s="211"/>
      <c r="D302" s="211"/>
      <c r="E302" s="211"/>
      <c r="F302" s="486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</row>
    <row r="303" spans="1:20">
      <c r="A303" s="211"/>
      <c r="B303" s="211"/>
      <c r="C303" s="211"/>
      <c r="D303" s="211"/>
      <c r="E303" s="211"/>
      <c r="F303" s="486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</row>
    <row r="304" spans="1:20">
      <c r="A304" s="211"/>
      <c r="B304" s="211"/>
      <c r="C304" s="211"/>
      <c r="D304" s="211"/>
      <c r="E304" s="211"/>
      <c r="F304" s="486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</row>
    <row r="305" spans="1:20">
      <c r="A305" s="211"/>
      <c r="B305" s="211"/>
      <c r="C305" s="211"/>
      <c r="D305" s="211"/>
      <c r="E305" s="211"/>
      <c r="F305" s="486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</row>
    <row r="306" spans="1:20">
      <c r="A306" s="211"/>
      <c r="B306" s="211"/>
      <c r="C306" s="211"/>
      <c r="D306" s="211"/>
      <c r="E306" s="211"/>
      <c r="F306" s="486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</row>
    <row r="307" spans="1:20">
      <c r="A307" s="211"/>
      <c r="B307" s="211"/>
      <c r="C307" s="211"/>
      <c r="D307" s="211"/>
      <c r="E307" s="211"/>
      <c r="F307" s="486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</row>
    <row r="308" spans="1:20">
      <c r="A308" s="211"/>
      <c r="B308" s="211"/>
      <c r="C308" s="211"/>
      <c r="D308" s="211"/>
      <c r="E308" s="211"/>
      <c r="F308" s="486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</row>
    <row r="309" spans="1:20">
      <c r="A309" s="211"/>
      <c r="B309" s="211"/>
      <c r="C309" s="211"/>
      <c r="D309" s="211"/>
      <c r="E309" s="211"/>
      <c r="F309" s="486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</row>
    <row r="310" spans="1:20">
      <c r="A310" s="211"/>
      <c r="B310" s="211"/>
      <c r="C310" s="211"/>
      <c r="D310" s="211"/>
      <c r="E310" s="211"/>
      <c r="F310" s="486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</row>
    <row r="311" spans="1:20">
      <c r="A311" s="211"/>
      <c r="B311" s="211"/>
      <c r="C311" s="211"/>
      <c r="D311" s="211"/>
      <c r="E311" s="211"/>
      <c r="F311" s="486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</row>
    <row r="312" spans="1:20">
      <c r="A312" s="211"/>
      <c r="B312" s="211"/>
      <c r="C312" s="211"/>
      <c r="D312" s="211"/>
      <c r="E312" s="211"/>
      <c r="F312" s="486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</row>
    <row r="313" spans="1:20">
      <c r="A313" s="211"/>
      <c r="B313" s="211"/>
      <c r="C313" s="211"/>
      <c r="D313" s="211"/>
      <c r="E313" s="211"/>
      <c r="F313" s="486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</row>
    <row r="314" spans="1:20">
      <c r="A314" s="211"/>
      <c r="B314" s="211"/>
      <c r="C314" s="211"/>
      <c r="D314" s="211"/>
      <c r="E314" s="211"/>
      <c r="F314" s="486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</row>
    <row r="315" spans="1:20">
      <c r="A315" s="211"/>
      <c r="B315" s="211"/>
      <c r="C315" s="211"/>
      <c r="D315" s="211"/>
      <c r="E315" s="211"/>
      <c r="F315" s="486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</row>
    <row r="316" spans="1:20">
      <c r="A316" s="211"/>
      <c r="B316" s="211"/>
      <c r="C316" s="211"/>
      <c r="D316" s="211"/>
      <c r="E316" s="211"/>
      <c r="F316" s="486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</row>
    <row r="317" spans="1:20">
      <c r="A317" s="211"/>
      <c r="B317" s="211"/>
      <c r="C317" s="211"/>
      <c r="D317" s="211"/>
      <c r="E317" s="211"/>
      <c r="F317" s="486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</row>
    <row r="318" spans="1:20">
      <c r="A318" s="211"/>
      <c r="B318" s="211"/>
      <c r="C318" s="211"/>
      <c r="D318" s="211"/>
      <c r="E318" s="211"/>
      <c r="F318" s="486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</row>
    <row r="319" spans="1:20">
      <c r="A319" s="211"/>
      <c r="B319" s="211"/>
      <c r="C319" s="211"/>
      <c r="D319" s="211"/>
      <c r="E319" s="211"/>
      <c r="F319" s="486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</row>
    <row r="320" spans="1:20">
      <c r="A320" s="211"/>
      <c r="B320" s="211"/>
      <c r="C320" s="211"/>
      <c r="D320" s="211"/>
      <c r="E320" s="211"/>
      <c r="F320" s="486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</row>
    <row r="321" spans="1:20">
      <c r="A321" s="211"/>
      <c r="B321" s="211"/>
      <c r="C321" s="211"/>
      <c r="D321" s="211"/>
      <c r="E321" s="211"/>
      <c r="F321" s="486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</row>
    <row r="322" spans="1:20">
      <c r="A322" s="211"/>
      <c r="B322" s="211"/>
      <c r="C322" s="211"/>
      <c r="D322" s="211"/>
      <c r="E322" s="211"/>
      <c r="F322" s="486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</row>
    <row r="323" spans="1:20">
      <c r="A323" s="211"/>
      <c r="B323" s="211"/>
      <c r="C323" s="211"/>
      <c r="D323" s="211"/>
      <c r="E323" s="211"/>
      <c r="F323" s="486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</row>
    <row r="324" spans="1:20">
      <c r="A324" s="211"/>
      <c r="B324" s="211"/>
      <c r="C324" s="211"/>
      <c r="D324" s="211"/>
      <c r="E324" s="211"/>
      <c r="F324" s="486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</row>
    <row r="325" spans="1:20">
      <c r="A325" s="211"/>
      <c r="B325" s="211"/>
      <c r="C325" s="211"/>
      <c r="D325" s="211"/>
      <c r="E325" s="211"/>
      <c r="F325" s="486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</row>
    <row r="326" spans="1:20">
      <c r="A326" s="211"/>
      <c r="B326" s="211"/>
      <c r="C326" s="211"/>
      <c r="D326" s="211"/>
      <c r="E326" s="211"/>
      <c r="F326" s="486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</row>
    <row r="327" spans="1:20">
      <c r="A327" s="211"/>
      <c r="B327" s="211"/>
      <c r="C327" s="211"/>
      <c r="D327" s="211"/>
      <c r="E327" s="211"/>
      <c r="F327" s="486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</row>
    <row r="328" spans="1:20">
      <c r="A328" s="211"/>
      <c r="B328" s="211"/>
      <c r="C328" s="211"/>
      <c r="D328" s="211"/>
      <c r="E328" s="211"/>
      <c r="F328" s="486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</row>
    <row r="329" spans="1:20">
      <c r="A329" s="211"/>
      <c r="B329" s="211"/>
      <c r="C329" s="211"/>
      <c r="D329" s="211"/>
      <c r="E329" s="211"/>
      <c r="F329" s="486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</row>
    <row r="330" spans="1:20">
      <c r="A330" s="211"/>
      <c r="B330" s="211"/>
      <c r="C330" s="211"/>
      <c r="D330" s="211"/>
      <c r="E330" s="211"/>
      <c r="F330" s="486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</row>
    <row r="331" spans="1:20">
      <c r="A331" s="211"/>
      <c r="B331" s="211"/>
      <c r="C331" s="211"/>
      <c r="D331" s="211"/>
      <c r="E331" s="211"/>
      <c r="F331" s="486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</row>
    <row r="332" spans="1:20">
      <c r="A332" s="211"/>
      <c r="B332" s="211"/>
      <c r="C332" s="211"/>
      <c r="D332" s="211"/>
      <c r="E332" s="211"/>
      <c r="F332" s="486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</row>
    <row r="333" spans="1:20">
      <c r="A333" s="211"/>
      <c r="B333" s="211"/>
      <c r="C333" s="211"/>
      <c r="D333" s="211"/>
      <c r="E333" s="211"/>
      <c r="F333" s="486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</row>
    <row r="334" spans="1:20">
      <c r="A334" s="211"/>
      <c r="B334" s="211"/>
      <c r="C334" s="211"/>
      <c r="D334" s="211"/>
      <c r="E334" s="211"/>
      <c r="F334" s="486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</row>
    <row r="335" spans="1:20">
      <c r="A335" s="211"/>
      <c r="B335" s="211"/>
      <c r="C335" s="211"/>
      <c r="D335" s="211"/>
      <c r="E335" s="211"/>
      <c r="F335" s="486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</row>
    <row r="336" spans="1:20">
      <c r="A336" s="211"/>
      <c r="B336" s="211"/>
      <c r="C336" s="211"/>
      <c r="D336" s="211"/>
      <c r="E336" s="211"/>
      <c r="F336" s="486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</row>
    <row r="337" spans="1:20">
      <c r="A337" s="211"/>
      <c r="B337" s="211"/>
      <c r="C337" s="211"/>
      <c r="D337" s="211"/>
      <c r="E337" s="211"/>
      <c r="F337" s="486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</row>
    <row r="338" spans="1:20">
      <c r="A338" s="211"/>
      <c r="B338" s="211"/>
      <c r="C338" s="211"/>
      <c r="D338" s="211"/>
      <c r="E338" s="211"/>
      <c r="F338" s="486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</row>
    <row r="339" spans="1:20">
      <c r="A339" s="211"/>
      <c r="B339" s="211"/>
      <c r="C339" s="211"/>
      <c r="D339" s="211"/>
      <c r="E339" s="211"/>
      <c r="F339" s="486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</row>
    <row r="340" spans="1:20">
      <c r="A340" s="211"/>
      <c r="B340" s="211"/>
      <c r="C340" s="211"/>
      <c r="D340" s="211"/>
      <c r="E340" s="211"/>
      <c r="F340" s="486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</row>
    <row r="341" spans="1:20">
      <c r="A341" s="211"/>
      <c r="B341" s="211"/>
      <c r="C341" s="211"/>
      <c r="D341" s="211"/>
      <c r="E341" s="211"/>
      <c r="F341" s="486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</row>
    <row r="342" spans="1:20">
      <c r="A342" s="211"/>
      <c r="B342" s="211"/>
      <c r="C342" s="211"/>
      <c r="D342" s="211"/>
      <c r="E342" s="211"/>
      <c r="F342" s="486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</row>
    <row r="343" spans="1:20">
      <c r="A343" s="211"/>
      <c r="B343" s="211"/>
      <c r="C343" s="211"/>
      <c r="D343" s="211"/>
      <c r="E343" s="211"/>
      <c r="F343" s="486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</row>
    <row r="344" spans="1:20">
      <c r="A344" s="211"/>
      <c r="B344" s="211"/>
      <c r="C344" s="211"/>
      <c r="D344" s="211"/>
      <c r="E344" s="211"/>
      <c r="F344" s="486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</row>
    <row r="345" spans="1:20">
      <c r="A345" s="211"/>
      <c r="B345" s="211"/>
      <c r="C345" s="211"/>
      <c r="D345" s="211"/>
      <c r="E345" s="211"/>
      <c r="F345" s="486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</row>
    <row r="346" spans="1:20">
      <c r="A346" s="211"/>
      <c r="B346" s="211"/>
      <c r="C346" s="211"/>
      <c r="D346" s="211"/>
      <c r="E346" s="211"/>
      <c r="F346" s="486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</row>
    <row r="347" spans="1:20">
      <c r="A347" s="211"/>
      <c r="B347" s="211"/>
      <c r="C347" s="211"/>
      <c r="D347" s="211"/>
      <c r="E347" s="211"/>
      <c r="F347" s="486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</row>
    <row r="348" spans="1:20">
      <c r="A348" s="211"/>
      <c r="B348" s="211"/>
      <c r="C348" s="211"/>
      <c r="D348" s="211"/>
      <c r="E348" s="211"/>
      <c r="F348" s="486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</row>
    <row r="349" spans="1:20">
      <c r="A349" s="211"/>
      <c r="B349" s="211"/>
      <c r="C349" s="211"/>
      <c r="D349" s="211"/>
      <c r="E349" s="211"/>
      <c r="F349" s="486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</row>
    <row r="350" spans="1:20">
      <c r="A350" s="211"/>
      <c r="B350" s="211"/>
      <c r="C350" s="211"/>
      <c r="D350" s="211"/>
      <c r="E350" s="211"/>
      <c r="F350" s="486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</row>
    <row r="351" spans="1:20">
      <c r="A351" s="211"/>
      <c r="B351" s="211"/>
      <c r="C351" s="211"/>
      <c r="D351" s="211"/>
      <c r="E351" s="211"/>
      <c r="F351" s="486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</row>
    <row r="352" spans="1:20">
      <c r="A352" s="211"/>
      <c r="B352" s="211"/>
      <c r="C352" s="211"/>
      <c r="D352" s="211"/>
      <c r="E352" s="211"/>
      <c r="F352" s="486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</row>
    <row r="353" spans="1:20">
      <c r="A353" s="211"/>
      <c r="B353" s="211"/>
      <c r="C353" s="211"/>
      <c r="D353" s="211"/>
      <c r="E353" s="211"/>
      <c r="F353" s="486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</row>
    <row r="354" spans="1:20">
      <c r="A354" s="211"/>
      <c r="B354" s="211"/>
      <c r="C354" s="211"/>
      <c r="D354" s="211"/>
      <c r="E354" s="211"/>
      <c r="F354" s="486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</row>
    <row r="355" spans="1:20">
      <c r="A355" s="211"/>
      <c r="B355" s="211"/>
      <c r="C355" s="211"/>
      <c r="D355" s="211"/>
      <c r="E355" s="211"/>
      <c r="F355" s="486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</row>
    <row r="356" spans="1:20">
      <c r="A356" s="211"/>
      <c r="B356" s="211"/>
      <c r="C356" s="211"/>
      <c r="D356" s="211"/>
      <c r="E356" s="211"/>
      <c r="F356" s="486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</row>
    <row r="357" spans="1:20">
      <c r="A357" s="211"/>
      <c r="B357" s="211"/>
      <c r="C357" s="211"/>
      <c r="D357" s="211"/>
      <c r="E357" s="211"/>
      <c r="F357" s="486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</row>
    <row r="358" spans="1:20">
      <c r="A358" s="211"/>
      <c r="B358" s="211"/>
      <c r="C358" s="211"/>
      <c r="D358" s="211"/>
      <c r="E358" s="211"/>
      <c r="F358" s="486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</row>
    <row r="359" spans="1:20">
      <c r="A359" s="211"/>
      <c r="B359" s="211"/>
      <c r="C359" s="211"/>
      <c r="D359" s="211"/>
      <c r="E359" s="211"/>
      <c r="F359" s="486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</row>
    <row r="360" spans="1:20">
      <c r="A360" s="211"/>
      <c r="B360" s="211"/>
      <c r="C360" s="211"/>
      <c r="D360" s="211"/>
      <c r="E360" s="211"/>
      <c r="F360" s="486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</row>
    <row r="361" spans="1:20">
      <c r="A361" s="211"/>
      <c r="B361" s="211"/>
      <c r="C361" s="211"/>
      <c r="D361" s="211"/>
      <c r="E361" s="211"/>
      <c r="F361" s="486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</row>
    <row r="362" spans="1:20">
      <c r="A362" s="211"/>
      <c r="B362" s="211"/>
      <c r="C362" s="211"/>
      <c r="D362" s="211"/>
      <c r="E362" s="211"/>
      <c r="F362" s="486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</row>
    <row r="363" spans="1:20">
      <c r="A363" s="211"/>
      <c r="B363" s="211"/>
      <c r="C363" s="211"/>
      <c r="D363" s="211"/>
      <c r="E363" s="211"/>
      <c r="F363" s="486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</row>
  </sheetData>
  <mergeCells count="24">
    <mergeCell ref="A7:C7"/>
    <mergeCell ref="A8:A10"/>
    <mergeCell ref="A5:C6"/>
    <mergeCell ref="B8:C8"/>
    <mergeCell ref="B11:L11"/>
    <mergeCell ref="H5:H6"/>
    <mergeCell ref="L5:L6"/>
    <mergeCell ref="D5:D6"/>
    <mergeCell ref="E5:E6"/>
    <mergeCell ref="G5:G6"/>
    <mergeCell ref="F5:F6"/>
    <mergeCell ref="J5:J6"/>
    <mergeCell ref="B10:C10"/>
    <mergeCell ref="B9:C9"/>
    <mergeCell ref="L14:L15"/>
    <mergeCell ref="D21:F21"/>
    <mergeCell ref="H14:H15"/>
    <mergeCell ref="J14:J15"/>
    <mergeCell ref="A14:F15"/>
    <mergeCell ref="G14:G15"/>
    <mergeCell ref="A17:D18"/>
    <mergeCell ref="E17:F17"/>
    <mergeCell ref="E18:F18"/>
    <mergeCell ref="B19:L19"/>
  </mergeCells>
  <conditionalFormatting sqref="G14:G16 J14:L16 H14:I17">
    <cfRule type="cellIs" dxfId="24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7" orientation="landscape" useFirstPageNumber="1" r:id="rId1"/>
  <headerFooter>
    <oddFooter>&amp;L&amp;P&amp;R&amp;G</oddFooter>
  </headerFooter>
  <colBreaks count="1" manualBreakCount="1">
    <brk id="20" min="1" max="74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</sheetPr>
  <dimension ref="A1:AQ361"/>
  <sheetViews>
    <sheetView view="pageBreakPreview" zoomScale="80" zoomScaleNormal="100" zoomScaleSheetLayoutView="80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471" customWidth="1"/>
    <col min="2" max="5" width="11.7109375" style="471" customWidth="1"/>
    <col min="6" max="6" width="11.7109375" style="2" customWidth="1"/>
    <col min="7" max="9" width="22" style="471" customWidth="1"/>
    <col min="10" max="10" width="10.42578125" style="471" customWidth="1"/>
    <col min="11" max="11" width="11.5703125" style="471" hidden="1" customWidth="1"/>
    <col min="12" max="24" width="12.28515625" style="471" customWidth="1"/>
    <col min="25" max="26" width="12.28515625" style="303" customWidth="1"/>
    <col min="27" max="16384" width="8.85546875" style="471"/>
  </cols>
  <sheetData>
    <row r="1" spans="1:43" s="1470" customFormat="1" ht="18" customHeight="1">
      <c r="B1" s="1055" t="s">
        <v>307</v>
      </c>
      <c r="C1" s="1032"/>
      <c r="D1" s="1029"/>
      <c r="E1" s="1029"/>
      <c r="F1" s="1030"/>
      <c r="G1" s="1029"/>
      <c r="H1" s="1029"/>
      <c r="I1" s="1029"/>
      <c r="J1" s="1029"/>
      <c r="K1" s="1029"/>
      <c r="L1" s="1029"/>
      <c r="M1" s="1029"/>
      <c r="N1" s="1029"/>
      <c r="O1" s="1029"/>
      <c r="P1" s="1029"/>
      <c r="Q1" s="1029"/>
      <c r="R1" s="1033"/>
      <c r="S1" s="1033"/>
      <c r="T1" s="1033"/>
      <c r="U1" s="1033"/>
      <c r="V1" s="1033"/>
      <c r="W1" s="1033"/>
      <c r="X1" s="1033"/>
      <c r="Y1" s="1033"/>
      <c r="Z1" s="1033"/>
      <c r="AA1" s="1033"/>
      <c r="AB1" s="1033"/>
      <c r="AC1" s="1033"/>
      <c r="AD1" s="1033"/>
      <c r="AE1" s="1033"/>
      <c r="AF1" s="1033"/>
      <c r="AG1" s="1033"/>
      <c r="AH1" s="1033"/>
      <c r="AI1" s="1033"/>
      <c r="AJ1" s="1033"/>
      <c r="AK1" s="1033"/>
      <c r="AL1" s="1033"/>
      <c r="AM1" s="1033"/>
      <c r="AN1" s="1033"/>
      <c r="AO1" s="1033"/>
      <c r="AP1" s="1033"/>
      <c r="AQ1" s="1033"/>
    </row>
    <row r="3" spans="1:43" ht="18.75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</row>
    <row r="4" spans="1:43" ht="15" customHeight="1">
      <c r="A4" s="1470"/>
      <c r="B4" s="17" t="s">
        <v>54</v>
      </c>
      <c r="C4" s="17"/>
      <c r="D4" s="1470"/>
      <c r="E4" s="1470"/>
      <c r="F4" s="6"/>
      <c r="G4" s="13"/>
      <c r="H4" s="13"/>
      <c r="I4" s="13"/>
      <c r="J4" s="359"/>
      <c r="K4" s="13"/>
      <c r="L4" s="13"/>
      <c r="M4" s="13"/>
      <c r="N4" s="13"/>
      <c r="O4" s="13"/>
      <c r="P4" s="13"/>
      <c r="Q4" s="13"/>
      <c r="R4" s="489"/>
      <c r="S4" s="489"/>
      <c r="T4" s="489"/>
      <c r="U4" s="489"/>
      <c r="V4" s="489"/>
      <c r="W4" s="489"/>
      <c r="X4" s="489"/>
      <c r="Y4" s="489"/>
      <c r="Z4" s="489"/>
      <c r="AA4" s="489"/>
      <c r="AB4" s="489"/>
      <c r="AC4" s="489"/>
      <c r="AD4" s="489"/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</row>
    <row r="5" spans="1:43" ht="18.75" customHeight="1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7</v>
      </c>
      <c r="G5" s="3143" t="s">
        <v>1940</v>
      </c>
      <c r="H5" s="3143" t="s">
        <v>2088</v>
      </c>
      <c r="I5" s="2880" t="s">
        <v>1569</v>
      </c>
      <c r="J5" s="3248"/>
      <c r="K5" s="697"/>
      <c r="L5" s="697"/>
      <c r="M5" s="697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  <c r="AB5" s="489"/>
      <c r="AC5" s="489"/>
      <c r="AD5" s="489"/>
      <c r="AE5" s="489"/>
      <c r="AF5" s="489"/>
      <c r="AG5" s="489"/>
      <c r="AH5" s="489"/>
      <c r="AI5" s="489"/>
      <c r="AJ5" s="489"/>
      <c r="AK5" s="489"/>
      <c r="AL5" s="489"/>
      <c r="AM5" s="489"/>
    </row>
    <row r="6" spans="1:43" ht="18.75">
      <c r="A6" s="2946"/>
      <c r="B6" s="2947"/>
      <c r="C6" s="2948"/>
      <c r="D6" s="2994"/>
      <c r="E6" s="2994"/>
      <c r="F6" s="2994"/>
      <c r="G6" s="3143"/>
      <c r="H6" s="3143"/>
      <c r="I6" s="2880"/>
      <c r="J6" s="3248"/>
      <c r="K6" s="697"/>
      <c r="L6" s="697"/>
      <c r="M6" s="697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89"/>
      <c r="AF6" s="489"/>
      <c r="AG6" s="489"/>
      <c r="AH6" s="489"/>
      <c r="AI6" s="489"/>
      <c r="AJ6" s="489"/>
      <c r="AK6" s="489"/>
      <c r="AL6" s="489"/>
      <c r="AM6" s="489"/>
    </row>
    <row r="7" spans="1:43" s="1470" customFormat="1" ht="38.25" customHeight="1">
      <c r="A7" s="2884" t="s">
        <v>1952</v>
      </c>
      <c r="B7" s="2884"/>
      <c r="C7" s="2884"/>
      <c r="D7" s="2028" t="s">
        <v>1953</v>
      </c>
      <c r="E7" s="2028" t="s">
        <v>31</v>
      </c>
      <c r="F7" s="2027" t="s">
        <v>0</v>
      </c>
      <c r="G7" s="1993">
        <f>'Полотна база'!BE9*(1+скидки_наценки!$B$30)*скидки_наценки!$D$13*скидки_наценки!$F$13/скидки_наценки!$B$4</f>
        <v>30750</v>
      </c>
      <c r="H7" s="2273">
        <f>'Полотна база'!BE9*(1+скидки_наценки!$B$30)*скидки_наценки!$D$13*скидки_наценки!$F$13/скидки_наценки!$B$4</f>
        <v>30750</v>
      </c>
      <c r="I7" s="1993">
        <f>'Полотна база'!BF9*(1+скидки_наценки!$B$30)*скидки_наценки!$D$15*скидки_наценки!$F$15/скидки_наценки!$B$4</f>
        <v>51950</v>
      </c>
      <c r="J7" s="1994"/>
      <c r="K7" s="702"/>
      <c r="L7" s="359"/>
      <c r="M7" s="698"/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89"/>
      <c r="Y7" s="489"/>
      <c r="Z7" s="489"/>
      <c r="AA7" s="489"/>
      <c r="AB7" s="489"/>
      <c r="AC7" s="489"/>
      <c r="AD7" s="489"/>
      <c r="AE7" s="489"/>
      <c r="AF7" s="489"/>
      <c r="AG7" s="489"/>
      <c r="AH7" s="489"/>
      <c r="AI7" s="489"/>
      <c r="AJ7" s="489"/>
      <c r="AK7" s="489"/>
      <c r="AL7" s="489"/>
      <c r="AM7" s="489"/>
    </row>
    <row r="8" spans="1:43" s="187" customFormat="1" ht="15.75" customHeight="1">
      <c r="A8" s="713"/>
      <c r="B8" s="2996" t="s">
        <v>1444</v>
      </c>
      <c r="C8" s="2996"/>
      <c r="D8" s="2996"/>
      <c r="E8" s="2996"/>
      <c r="F8" s="2996"/>
      <c r="G8" s="2996"/>
      <c r="H8" s="2272"/>
      <c r="I8" s="714"/>
      <c r="J8" s="246"/>
      <c r="K8" s="690"/>
      <c r="L8" s="690"/>
      <c r="M8" s="690"/>
      <c r="N8" s="690"/>
      <c r="O8" s="690"/>
      <c r="P8" s="690"/>
      <c r="Q8" s="690"/>
      <c r="R8" s="690"/>
      <c r="S8" s="690"/>
      <c r="T8" s="690"/>
      <c r="U8" s="690"/>
      <c r="V8" s="690"/>
      <c r="W8" s="690"/>
      <c r="X8" s="690"/>
      <c r="Y8" s="690"/>
      <c r="Z8" s="690"/>
      <c r="AA8" s="690"/>
      <c r="AB8" s="690"/>
      <c r="AC8" s="690"/>
      <c r="AD8" s="690"/>
      <c r="AE8" s="690"/>
      <c r="AF8" s="690"/>
      <c r="AG8" s="690"/>
      <c r="AH8" s="690"/>
    </row>
    <row r="9" spans="1:43" ht="18" customHeight="1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</row>
    <row r="10" spans="1:43" ht="18" customHeight="1">
      <c r="A10" s="1562"/>
      <c r="B10" s="49" t="s">
        <v>1497</v>
      </c>
      <c r="C10" s="1562"/>
      <c r="D10" s="1562"/>
      <c r="E10" s="1562"/>
      <c r="F10" s="1562"/>
      <c r="G10" s="1562"/>
      <c r="H10" s="1562"/>
      <c r="I10" s="1562"/>
      <c r="J10" s="1928" t="s">
        <v>4</v>
      </c>
      <c r="K10" s="211"/>
      <c r="L10" s="211"/>
      <c r="M10" s="483"/>
      <c r="N10" s="483"/>
      <c r="O10" s="483"/>
      <c r="P10" s="211"/>
      <c r="Q10" s="483"/>
      <c r="R10" s="30"/>
    </row>
    <row r="11" spans="1:43" ht="18" customHeight="1">
      <c r="A11" s="1562"/>
      <c r="B11" s="1562"/>
      <c r="C11" s="1563"/>
      <c r="D11" s="3252" t="s">
        <v>1570</v>
      </c>
      <c r="E11" s="3252"/>
      <c r="F11" s="3252"/>
      <c r="G11" s="1928" t="s">
        <v>4</v>
      </c>
      <c r="H11" s="1928" t="s">
        <v>1902</v>
      </c>
      <c r="J11" s="1928" t="s">
        <v>4</v>
      </c>
      <c r="L11" s="211"/>
      <c r="M11" s="483"/>
      <c r="N11" s="483"/>
      <c r="O11" s="483"/>
      <c r="P11" s="211"/>
      <c r="Q11" s="483"/>
      <c r="R11" s="30"/>
    </row>
    <row r="12" spans="1:43" ht="18" customHeight="1">
      <c r="A12" s="1562"/>
      <c r="B12" s="1562"/>
      <c r="C12" s="1563"/>
      <c r="D12" s="1569"/>
      <c r="E12" s="1569"/>
      <c r="F12" s="1569"/>
      <c r="G12" s="1562"/>
      <c r="H12" s="1562"/>
      <c r="I12" s="1562"/>
      <c r="J12" s="1562"/>
      <c r="K12" s="211"/>
      <c r="L12" s="211"/>
      <c r="M12" s="211"/>
      <c r="N12" s="211"/>
      <c r="O12" s="211"/>
      <c r="P12" s="211"/>
      <c r="Q12" s="211"/>
    </row>
    <row r="13" spans="1:43" ht="18" customHeight="1">
      <c r="A13" s="1562"/>
      <c r="B13" s="1570"/>
      <c r="C13" s="1570"/>
      <c r="D13" s="1562"/>
      <c r="E13" s="1562"/>
      <c r="F13" s="1562"/>
      <c r="G13" s="1562"/>
      <c r="H13" s="1562"/>
      <c r="I13" s="1562"/>
      <c r="J13" s="1562"/>
      <c r="M13" s="211"/>
      <c r="N13" s="211"/>
      <c r="O13" s="211"/>
      <c r="P13" s="211"/>
      <c r="Q13" s="211"/>
    </row>
    <row r="14" spans="1:43" ht="18" customHeight="1">
      <c r="A14" s="1562"/>
      <c r="B14" s="1570"/>
      <c r="C14" s="1570"/>
      <c r="D14" s="1562"/>
      <c r="E14" s="1562"/>
      <c r="F14" s="1562"/>
      <c r="G14" s="1562"/>
      <c r="H14" s="1562"/>
      <c r="I14" s="1562"/>
      <c r="J14" s="1562"/>
      <c r="K14" s="211"/>
      <c r="L14" s="211"/>
      <c r="M14" s="211"/>
      <c r="N14" s="211"/>
      <c r="O14" s="211"/>
      <c r="P14" s="211"/>
      <c r="Q14" s="211"/>
    </row>
    <row r="15" spans="1:43">
      <c r="A15" s="1562"/>
      <c r="B15" s="1571"/>
      <c r="C15" s="1571"/>
      <c r="D15" s="1562"/>
      <c r="E15" s="1562"/>
      <c r="F15" s="1562"/>
      <c r="G15" s="1562"/>
      <c r="H15" s="1562"/>
      <c r="I15" s="1562"/>
      <c r="J15" s="1562"/>
      <c r="K15" s="211"/>
      <c r="L15" s="211"/>
      <c r="M15" s="211"/>
      <c r="N15" s="211"/>
      <c r="O15" s="211"/>
      <c r="P15" s="211"/>
      <c r="Q15" s="211"/>
    </row>
    <row r="16" spans="1:43">
      <c r="A16" s="1562"/>
      <c r="B16" s="1562"/>
      <c r="C16" s="1562"/>
      <c r="D16" s="1562"/>
      <c r="E16" s="1562"/>
      <c r="F16" s="1566"/>
      <c r="G16" s="1562"/>
      <c r="H16" s="1562"/>
      <c r="I16" s="1562"/>
      <c r="J16" s="1562"/>
      <c r="K16" s="211"/>
      <c r="L16" s="211"/>
      <c r="M16" s="211"/>
      <c r="N16" s="211"/>
      <c r="O16" s="211"/>
      <c r="P16" s="211"/>
      <c r="Q16" s="211"/>
    </row>
    <row r="17" spans="1:17">
      <c r="A17" s="1562"/>
      <c r="B17" s="1562"/>
      <c r="C17" s="1562"/>
      <c r="D17" s="1562"/>
      <c r="E17" s="1562"/>
      <c r="F17" s="1566"/>
      <c r="G17" s="1562"/>
      <c r="H17" s="1562"/>
      <c r="I17" s="1562"/>
      <c r="J17" s="1562"/>
      <c r="K17" s="211"/>
      <c r="L17" s="211"/>
      <c r="M17" s="211"/>
      <c r="N17" s="211"/>
      <c r="O17" s="211"/>
      <c r="P17" s="211"/>
      <c r="Q17" s="211"/>
    </row>
    <row r="18" spans="1:17" ht="17.25" customHeight="1">
      <c r="A18" s="1562"/>
      <c r="B18" s="1562"/>
      <c r="C18" s="1562"/>
      <c r="D18" s="1562"/>
      <c r="E18" s="1562"/>
      <c r="F18" s="1566"/>
      <c r="G18" s="1562"/>
      <c r="H18" s="1562"/>
      <c r="I18" s="1562"/>
      <c r="J18" s="1562"/>
      <c r="K18" s="211"/>
      <c r="L18" s="211"/>
      <c r="M18" s="211"/>
      <c r="N18" s="211"/>
      <c r="O18" s="211"/>
      <c r="P18" s="211"/>
      <c r="Q18" s="211"/>
    </row>
    <row r="19" spans="1:17" ht="17.25" customHeight="1">
      <c r="A19" s="1562"/>
      <c r="B19" s="1562"/>
      <c r="C19" s="1562"/>
      <c r="D19" s="1562"/>
      <c r="E19" s="1562"/>
      <c r="F19" s="1566"/>
      <c r="G19" s="2274" t="s">
        <v>4</v>
      </c>
      <c r="H19" s="3251" t="s">
        <v>2091</v>
      </c>
      <c r="I19" s="3251"/>
      <c r="J19" s="1562"/>
      <c r="K19" s="211"/>
      <c r="L19" s="211"/>
      <c r="M19" s="211"/>
      <c r="N19" s="211"/>
      <c r="O19" s="211"/>
      <c r="P19" s="211"/>
      <c r="Q19" s="211"/>
    </row>
    <row r="20" spans="1:17">
      <c r="A20" s="1562"/>
      <c r="B20" s="1562"/>
      <c r="C20" s="1562"/>
      <c r="D20" s="1562"/>
      <c r="E20" s="1562"/>
      <c r="F20" s="1566"/>
      <c r="G20" s="1562"/>
      <c r="H20" s="1562"/>
      <c r="I20" s="1562"/>
      <c r="J20" s="1562"/>
      <c r="K20" s="211"/>
      <c r="L20" s="211"/>
      <c r="M20" s="211"/>
      <c r="N20" s="211"/>
      <c r="O20" s="211"/>
      <c r="P20" s="211"/>
      <c r="Q20" s="211"/>
    </row>
    <row r="21" spans="1:17">
      <c r="A21" s="211"/>
      <c r="B21" s="211"/>
      <c r="C21" s="211"/>
      <c r="D21" s="211"/>
      <c r="E21" s="211"/>
      <c r="F21" s="486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</row>
    <row r="22" spans="1:17">
      <c r="A22" s="211"/>
      <c r="B22" s="211"/>
      <c r="C22" s="211"/>
      <c r="E22" s="1928" t="s">
        <v>1501</v>
      </c>
      <c r="F22" s="486"/>
      <c r="G22" s="211"/>
      <c r="H22" s="3250" t="s">
        <v>2089</v>
      </c>
      <c r="I22" s="3250"/>
      <c r="J22" s="211"/>
      <c r="K22" s="211"/>
      <c r="L22" s="211"/>
      <c r="M22" s="211"/>
      <c r="N22" s="211"/>
      <c r="O22" s="211"/>
      <c r="P22" s="211"/>
      <c r="Q22" s="211"/>
    </row>
    <row r="23" spans="1:17">
      <c r="A23" s="211"/>
      <c r="B23" s="211"/>
      <c r="C23" s="211"/>
      <c r="D23" s="211"/>
      <c r="E23" s="211"/>
      <c r="F23" s="486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</row>
    <row r="24" spans="1:17">
      <c r="A24" s="211"/>
      <c r="B24" s="211"/>
      <c r="C24" s="211"/>
      <c r="D24" s="211"/>
      <c r="E24" s="211"/>
      <c r="F24" s="486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</row>
    <row r="25" spans="1:17">
      <c r="A25" s="211"/>
      <c r="B25" s="211"/>
      <c r="C25" s="211"/>
      <c r="D25" s="211"/>
      <c r="E25" s="211"/>
      <c r="F25" s="486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</row>
    <row r="26" spans="1:17">
      <c r="A26" s="211"/>
      <c r="B26" s="211"/>
      <c r="C26" s="211"/>
      <c r="D26" s="211"/>
      <c r="E26" s="211"/>
      <c r="F26" s="486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</row>
    <row r="27" spans="1:17">
      <c r="A27" s="211"/>
      <c r="B27" s="211"/>
      <c r="C27" s="211"/>
      <c r="D27" s="211"/>
      <c r="E27" s="211"/>
      <c r="F27" s="486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</row>
    <row r="28" spans="1:17">
      <c r="A28" s="211"/>
      <c r="B28" s="211"/>
      <c r="C28" s="211"/>
      <c r="D28" s="211"/>
      <c r="E28" s="211"/>
      <c r="F28" s="486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</row>
    <row r="29" spans="1:17" ht="15" customHeight="1">
      <c r="A29" s="211"/>
      <c r="B29" s="211"/>
      <c r="C29" s="211"/>
      <c r="D29" s="211"/>
      <c r="E29" s="211"/>
      <c r="F29" s="486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</row>
    <row r="30" spans="1:17">
      <c r="A30" s="211"/>
      <c r="B30" s="211"/>
      <c r="C30" s="211"/>
      <c r="D30" s="211"/>
      <c r="E30" s="211"/>
      <c r="F30" s="486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</row>
    <row r="31" spans="1:17">
      <c r="A31" s="211"/>
      <c r="B31" s="211"/>
      <c r="C31" s="211"/>
      <c r="D31" s="211"/>
      <c r="E31" s="211"/>
      <c r="F31" s="486"/>
      <c r="G31" s="211"/>
      <c r="H31" s="3249" t="s">
        <v>2090</v>
      </c>
      <c r="I31" s="3249"/>
      <c r="J31" s="211"/>
      <c r="K31" s="211"/>
      <c r="L31" s="211"/>
      <c r="M31" s="211"/>
      <c r="N31" s="211"/>
      <c r="O31" s="211"/>
      <c r="P31" s="211"/>
      <c r="Q31" s="211"/>
    </row>
    <row r="32" spans="1:17">
      <c r="A32" s="211"/>
      <c r="B32" s="211"/>
      <c r="C32" s="211"/>
      <c r="D32" s="211"/>
      <c r="E32" s="211"/>
      <c r="F32" s="486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</row>
    <row r="33" spans="1:17">
      <c r="A33" s="211"/>
      <c r="B33" s="211"/>
      <c r="C33" s="211"/>
      <c r="D33" s="211"/>
      <c r="E33" s="211"/>
      <c r="F33" s="486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</row>
    <row r="34" spans="1:17">
      <c r="A34" s="211"/>
      <c r="B34" s="211"/>
      <c r="C34" s="211"/>
      <c r="D34" s="211"/>
      <c r="E34" s="211"/>
      <c r="F34" s="486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</row>
    <row r="35" spans="1:17">
      <c r="A35" s="211"/>
      <c r="B35" s="211"/>
      <c r="C35" s="211"/>
      <c r="D35" s="211"/>
      <c r="E35" s="211"/>
      <c r="F35" s="486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</row>
    <row r="36" spans="1:17">
      <c r="A36" s="211"/>
      <c r="B36" s="211"/>
      <c r="C36" s="211"/>
      <c r="D36" s="211"/>
      <c r="E36" s="211"/>
      <c r="F36" s="486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</row>
    <row r="37" spans="1:17">
      <c r="A37" s="211"/>
      <c r="B37" s="211"/>
      <c r="C37" s="211"/>
      <c r="D37" s="211"/>
      <c r="E37" s="211"/>
      <c r="F37" s="486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</row>
    <row r="38" spans="1:17">
      <c r="A38" s="211"/>
      <c r="B38" s="211"/>
      <c r="C38" s="211"/>
      <c r="D38" s="211"/>
      <c r="E38" s="211"/>
      <c r="F38" s="486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</row>
    <row r="39" spans="1:17">
      <c r="A39" s="211"/>
      <c r="B39" s="211"/>
      <c r="C39" s="211"/>
      <c r="D39" s="211"/>
      <c r="E39" s="211"/>
      <c r="F39" s="486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</row>
    <row r="40" spans="1:17">
      <c r="A40" s="211"/>
      <c r="B40" s="211"/>
      <c r="C40" s="211"/>
      <c r="D40" s="211"/>
      <c r="E40" s="211"/>
      <c r="F40" s="486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</row>
    <row r="41" spans="1:17">
      <c r="A41" s="211"/>
      <c r="B41" s="211"/>
      <c r="C41" s="211"/>
      <c r="D41" s="211"/>
      <c r="E41" s="211"/>
      <c r="F41" s="486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</row>
    <row r="42" spans="1:17">
      <c r="A42" s="211"/>
      <c r="B42" s="211"/>
      <c r="C42" s="211"/>
      <c r="D42" s="211"/>
      <c r="E42" s="211"/>
      <c r="F42" s="486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</row>
    <row r="43" spans="1:17">
      <c r="A43" s="211"/>
      <c r="B43" s="211"/>
      <c r="C43" s="211"/>
      <c r="D43" s="211"/>
      <c r="E43" s="211"/>
      <c r="F43" s="486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</row>
    <row r="44" spans="1:17">
      <c r="A44" s="211"/>
      <c r="B44" s="211"/>
      <c r="C44" s="211"/>
      <c r="D44" s="211"/>
      <c r="E44" s="211"/>
      <c r="F44" s="486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</row>
    <row r="45" spans="1:17">
      <c r="A45" s="211"/>
      <c r="B45" s="211"/>
      <c r="C45" s="211"/>
      <c r="D45" s="211"/>
      <c r="E45" s="211"/>
      <c r="F45" s="486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</row>
    <row r="46" spans="1:17">
      <c r="A46" s="211"/>
      <c r="B46" s="211"/>
      <c r="C46" s="211"/>
      <c r="D46" s="211"/>
      <c r="E46" s="211"/>
      <c r="F46" s="486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</row>
    <row r="47" spans="1:17">
      <c r="A47" s="211"/>
      <c r="B47" s="211"/>
      <c r="C47" s="211"/>
      <c r="D47" s="211"/>
      <c r="E47" s="211"/>
      <c r="F47" s="486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</row>
    <row r="48" spans="1:17">
      <c r="A48" s="211"/>
      <c r="B48" s="211"/>
      <c r="C48" s="211"/>
      <c r="D48" s="211"/>
      <c r="E48" s="211"/>
      <c r="F48" s="486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</row>
    <row r="49" spans="1:17">
      <c r="A49" s="211"/>
      <c r="B49" s="211"/>
      <c r="C49" s="211"/>
      <c r="D49" s="211"/>
      <c r="E49" s="211"/>
      <c r="F49" s="486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</row>
    <row r="50" spans="1:17">
      <c r="A50" s="211"/>
      <c r="B50" s="211"/>
      <c r="C50" s="211"/>
      <c r="D50" s="211"/>
      <c r="E50" s="211"/>
      <c r="F50" s="486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</row>
    <row r="51" spans="1:17">
      <c r="A51" s="211"/>
      <c r="B51" s="211"/>
      <c r="C51" s="211"/>
      <c r="D51" s="211"/>
      <c r="E51" s="211"/>
      <c r="F51" s="486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</row>
    <row r="52" spans="1:17">
      <c r="A52" s="211"/>
      <c r="B52" s="211"/>
      <c r="C52" s="211"/>
      <c r="D52" s="211"/>
      <c r="E52" s="211"/>
      <c r="F52" s="486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</row>
    <row r="53" spans="1:17">
      <c r="A53" s="211"/>
      <c r="B53" s="211"/>
      <c r="C53" s="211"/>
      <c r="D53" s="211"/>
      <c r="E53" s="211"/>
      <c r="F53" s="486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</row>
    <row r="54" spans="1:17">
      <c r="A54" s="211"/>
      <c r="B54" s="211"/>
      <c r="C54" s="211"/>
      <c r="D54" s="211"/>
      <c r="E54" s="211"/>
      <c r="F54" s="486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</row>
    <row r="55" spans="1:17">
      <c r="A55" s="211"/>
      <c r="B55" s="211"/>
      <c r="C55" s="211"/>
      <c r="D55" s="211"/>
      <c r="E55" s="211"/>
      <c r="F55" s="486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</row>
    <row r="56" spans="1:17">
      <c r="A56" s="211"/>
      <c r="B56" s="211"/>
      <c r="C56" s="211"/>
      <c r="D56" s="211"/>
      <c r="E56" s="211"/>
      <c r="F56" s="486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</row>
    <row r="57" spans="1:17">
      <c r="A57" s="211"/>
      <c r="B57" s="211"/>
      <c r="C57" s="211"/>
      <c r="D57" s="211"/>
      <c r="E57" s="211"/>
      <c r="F57" s="486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</row>
    <row r="58" spans="1:17">
      <c r="A58" s="211"/>
      <c r="B58" s="211"/>
      <c r="C58" s="211"/>
      <c r="D58" s="211"/>
      <c r="E58" s="211"/>
      <c r="F58" s="486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</row>
    <row r="59" spans="1:17">
      <c r="A59" s="211"/>
      <c r="B59" s="211"/>
      <c r="C59" s="211"/>
      <c r="D59" s="211"/>
      <c r="E59" s="211"/>
      <c r="F59" s="486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</row>
    <row r="60" spans="1:17">
      <c r="A60" s="211"/>
      <c r="B60" s="211"/>
      <c r="C60" s="211"/>
      <c r="D60" s="211"/>
      <c r="E60" s="211"/>
      <c r="F60" s="486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</row>
    <row r="61" spans="1:17">
      <c r="A61" s="211"/>
      <c r="B61" s="211"/>
      <c r="C61" s="211"/>
      <c r="D61" s="211"/>
      <c r="E61" s="211"/>
      <c r="F61" s="486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</row>
    <row r="62" spans="1:17">
      <c r="A62" s="211"/>
      <c r="B62" s="211"/>
      <c r="C62" s="211"/>
      <c r="D62" s="211"/>
      <c r="E62" s="211"/>
      <c r="F62" s="486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</row>
    <row r="63" spans="1:17">
      <c r="A63" s="211"/>
      <c r="B63" s="211"/>
      <c r="C63" s="211"/>
      <c r="D63" s="211"/>
      <c r="E63" s="211"/>
      <c r="F63" s="486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</row>
    <row r="64" spans="1:17">
      <c r="A64" s="211"/>
      <c r="B64" s="211"/>
      <c r="C64" s="211"/>
      <c r="D64" s="211"/>
      <c r="E64" s="211"/>
      <c r="F64" s="486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</row>
    <row r="65" spans="1:17">
      <c r="A65" s="211"/>
      <c r="B65" s="211"/>
      <c r="C65" s="211"/>
      <c r="D65" s="211"/>
      <c r="E65" s="211"/>
      <c r="F65" s="486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</row>
    <row r="66" spans="1:17">
      <c r="A66" s="211"/>
      <c r="B66" s="211"/>
      <c r="C66" s="211"/>
      <c r="D66" s="211"/>
      <c r="E66" s="211"/>
      <c r="F66" s="486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</row>
    <row r="67" spans="1:17">
      <c r="A67" s="211"/>
      <c r="B67" s="211"/>
      <c r="C67" s="211"/>
      <c r="D67" s="211"/>
      <c r="E67" s="211"/>
      <c r="F67" s="486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</row>
    <row r="68" spans="1:17">
      <c r="A68" s="211"/>
      <c r="B68" s="211"/>
      <c r="C68" s="211"/>
      <c r="D68" s="211"/>
      <c r="E68" s="211"/>
      <c r="F68" s="486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</row>
    <row r="69" spans="1:17">
      <c r="A69" s="211"/>
      <c r="B69" s="211"/>
      <c r="C69" s="211"/>
      <c r="D69" s="211"/>
      <c r="E69" s="211"/>
      <c r="F69" s="486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</row>
    <row r="70" spans="1:17">
      <c r="A70" s="211"/>
      <c r="B70" s="211"/>
      <c r="C70" s="211"/>
      <c r="D70" s="211"/>
      <c r="E70" s="211"/>
      <c r="F70" s="486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</row>
    <row r="71" spans="1:17">
      <c r="A71" s="211"/>
      <c r="B71" s="211"/>
      <c r="C71" s="211"/>
      <c r="D71" s="211"/>
      <c r="E71" s="211"/>
      <c r="F71" s="486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</row>
    <row r="72" spans="1:17">
      <c r="A72" s="211"/>
      <c r="B72" s="211"/>
      <c r="C72" s="211"/>
      <c r="D72" s="211"/>
      <c r="E72" s="211"/>
      <c r="F72" s="486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</row>
    <row r="73" spans="1:17">
      <c r="A73" s="211"/>
      <c r="B73" s="211"/>
      <c r="C73" s="211"/>
      <c r="D73" s="211"/>
      <c r="E73" s="211"/>
      <c r="F73" s="486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</row>
    <row r="74" spans="1:17">
      <c r="A74" s="211"/>
      <c r="B74" s="211"/>
      <c r="C74" s="211"/>
      <c r="D74" s="211"/>
      <c r="E74" s="211"/>
      <c r="F74" s="486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</row>
    <row r="75" spans="1:17">
      <c r="A75" s="211"/>
      <c r="B75" s="211"/>
      <c r="C75" s="211"/>
      <c r="D75" s="211"/>
      <c r="E75" s="211"/>
      <c r="F75" s="486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</row>
    <row r="76" spans="1:17">
      <c r="A76" s="211"/>
      <c r="B76" s="211"/>
      <c r="C76" s="211"/>
      <c r="D76" s="211"/>
      <c r="E76" s="211"/>
      <c r="F76" s="486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</row>
    <row r="77" spans="1:17">
      <c r="A77" s="211"/>
      <c r="B77" s="211"/>
      <c r="C77" s="211"/>
      <c r="D77" s="211"/>
      <c r="E77" s="211"/>
      <c r="F77" s="486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</row>
    <row r="78" spans="1:17">
      <c r="A78" s="211"/>
      <c r="B78" s="211"/>
      <c r="C78" s="211"/>
      <c r="D78" s="211"/>
      <c r="E78" s="211"/>
      <c r="F78" s="486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</row>
    <row r="79" spans="1:17">
      <c r="A79" s="211"/>
      <c r="B79" s="211"/>
      <c r="C79" s="211"/>
      <c r="D79" s="211"/>
      <c r="E79" s="211"/>
      <c r="F79" s="486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</row>
    <row r="80" spans="1:17">
      <c r="A80" s="211"/>
      <c r="B80" s="211"/>
      <c r="C80" s="211"/>
      <c r="D80" s="211"/>
      <c r="E80" s="211"/>
      <c r="F80" s="486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</row>
    <row r="81" spans="1:17">
      <c r="A81" s="211"/>
      <c r="B81" s="211"/>
      <c r="C81" s="211"/>
      <c r="D81" s="211"/>
      <c r="E81" s="211"/>
      <c r="F81" s="486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</row>
    <row r="82" spans="1:17">
      <c r="A82" s="211"/>
      <c r="B82" s="211"/>
      <c r="C82" s="211"/>
      <c r="D82" s="211"/>
      <c r="E82" s="211"/>
      <c r="F82" s="486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</row>
    <row r="83" spans="1:17">
      <c r="A83" s="211"/>
      <c r="B83" s="211"/>
      <c r="C83" s="211"/>
      <c r="D83" s="211"/>
      <c r="E83" s="211"/>
      <c r="F83" s="486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</row>
    <row r="84" spans="1:17">
      <c r="A84" s="211"/>
      <c r="B84" s="211"/>
      <c r="C84" s="211"/>
      <c r="D84" s="211"/>
      <c r="E84" s="211"/>
      <c r="F84" s="486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</row>
    <row r="85" spans="1:17">
      <c r="A85" s="211"/>
      <c r="B85" s="211"/>
      <c r="C85" s="211"/>
      <c r="D85" s="211"/>
      <c r="E85" s="211"/>
      <c r="F85" s="486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</row>
    <row r="86" spans="1:17">
      <c r="A86" s="211"/>
      <c r="B86" s="211"/>
      <c r="C86" s="211"/>
      <c r="D86" s="211"/>
      <c r="E86" s="211"/>
      <c r="F86" s="486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</row>
    <row r="87" spans="1:17">
      <c r="A87" s="211"/>
      <c r="B87" s="211"/>
      <c r="C87" s="211"/>
      <c r="D87" s="211"/>
      <c r="E87" s="211"/>
      <c r="F87" s="486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</row>
    <row r="88" spans="1:17">
      <c r="A88" s="211"/>
      <c r="B88" s="211"/>
      <c r="C88" s="211"/>
      <c r="D88" s="211"/>
      <c r="E88" s="211"/>
      <c r="F88" s="486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</row>
    <row r="89" spans="1:17">
      <c r="A89" s="211"/>
      <c r="B89" s="211"/>
      <c r="C89" s="211"/>
      <c r="D89" s="211"/>
      <c r="E89" s="211"/>
      <c r="F89" s="486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</row>
    <row r="90" spans="1:17">
      <c r="A90" s="211"/>
      <c r="B90" s="211"/>
      <c r="C90" s="211"/>
      <c r="D90" s="211"/>
      <c r="E90" s="211"/>
      <c r="F90" s="486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</row>
    <row r="91" spans="1:17">
      <c r="A91" s="211"/>
      <c r="B91" s="211"/>
      <c r="C91" s="211"/>
      <c r="D91" s="211"/>
      <c r="E91" s="211"/>
      <c r="F91" s="486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</row>
    <row r="92" spans="1:17">
      <c r="A92" s="211"/>
      <c r="B92" s="211"/>
      <c r="C92" s="211"/>
      <c r="D92" s="211"/>
      <c r="E92" s="211"/>
      <c r="F92" s="486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</row>
    <row r="93" spans="1:17">
      <c r="A93" s="211"/>
      <c r="B93" s="211"/>
      <c r="C93" s="211"/>
      <c r="D93" s="211"/>
      <c r="E93" s="211"/>
      <c r="F93" s="486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</row>
    <row r="94" spans="1:17">
      <c r="A94" s="211"/>
      <c r="B94" s="211"/>
      <c r="C94" s="211"/>
      <c r="D94" s="211"/>
      <c r="E94" s="211"/>
      <c r="F94" s="486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</row>
    <row r="95" spans="1:17">
      <c r="A95" s="211"/>
      <c r="B95" s="211"/>
      <c r="C95" s="211"/>
      <c r="D95" s="211"/>
      <c r="E95" s="211"/>
      <c r="F95" s="486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</row>
    <row r="96" spans="1:17">
      <c r="A96" s="211"/>
      <c r="B96" s="211"/>
      <c r="C96" s="211"/>
      <c r="D96" s="211"/>
      <c r="E96" s="211"/>
      <c r="F96" s="486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</row>
    <row r="97" spans="1:17">
      <c r="A97" s="211"/>
      <c r="B97" s="211"/>
      <c r="C97" s="211"/>
      <c r="D97" s="211"/>
      <c r="E97" s="211"/>
      <c r="F97" s="486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</row>
    <row r="98" spans="1:17">
      <c r="A98" s="211"/>
      <c r="B98" s="211"/>
      <c r="C98" s="211"/>
      <c r="D98" s="211"/>
      <c r="E98" s="211"/>
      <c r="F98" s="486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</row>
    <row r="99" spans="1:17">
      <c r="A99" s="211"/>
      <c r="B99" s="211"/>
      <c r="C99" s="211"/>
      <c r="D99" s="211"/>
      <c r="E99" s="211"/>
      <c r="F99" s="486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</row>
    <row r="100" spans="1:17">
      <c r="A100" s="211"/>
      <c r="B100" s="211"/>
      <c r="C100" s="211"/>
      <c r="D100" s="211"/>
      <c r="E100" s="211"/>
      <c r="F100" s="486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</row>
    <row r="101" spans="1:17">
      <c r="A101" s="211"/>
      <c r="B101" s="211"/>
      <c r="C101" s="211"/>
      <c r="D101" s="211"/>
      <c r="E101" s="211"/>
      <c r="F101" s="486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</row>
    <row r="102" spans="1:17">
      <c r="A102" s="211"/>
      <c r="B102" s="211"/>
      <c r="C102" s="211"/>
      <c r="D102" s="211"/>
      <c r="E102" s="211"/>
      <c r="F102" s="486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</row>
    <row r="103" spans="1:17">
      <c r="A103" s="211"/>
      <c r="B103" s="211"/>
      <c r="C103" s="211"/>
      <c r="D103" s="211"/>
      <c r="E103" s="211"/>
      <c r="F103" s="486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</row>
    <row r="104" spans="1:17">
      <c r="A104" s="211"/>
      <c r="B104" s="211"/>
      <c r="C104" s="211"/>
      <c r="D104" s="211"/>
      <c r="E104" s="211"/>
      <c r="F104" s="486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</row>
    <row r="105" spans="1:17">
      <c r="A105" s="211"/>
      <c r="B105" s="211"/>
      <c r="C105" s="211"/>
      <c r="D105" s="211"/>
      <c r="E105" s="211"/>
      <c r="F105" s="486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</row>
    <row r="106" spans="1:17">
      <c r="A106" s="211"/>
      <c r="B106" s="211"/>
      <c r="C106" s="211"/>
      <c r="D106" s="211"/>
      <c r="E106" s="211"/>
      <c r="F106" s="486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</row>
    <row r="107" spans="1:17">
      <c r="A107" s="211"/>
      <c r="B107" s="211"/>
      <c r="C107" s="211"/>
      <c r="D107" s="211"/>
      <c r="E107" s="211"/>
      <c r="F107" s="486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</row>
    <row r="108" spans="1:17">
      <c r="A108" s="211"/>
      <c r="B108" s="211"/>
      <c r="C108" s="211"/>
      <c r="D108" s="211"/>
      <c r="E108" s="211"/>
      <c r="F108" s="486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</row>
    <row r="109" spans="1:17">
      <c r="A109" s="211"/>
      <c r="B109" s="211"/>
      <c r="C109" s="211"/>
      <c r="D109" s="211"/>
      <c r="E109" s="211"/>
      <c r="F109" s="486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</row>
    <row r="110" spans="1:17">
      <c r="A110" s="211"/>
      <c r="B110" s="211"/>
      <c r="C110" s="211"/>
      <c r="D110" s="211"/>
      <c r="E110" s="211"/>
      <c r="F110" s="486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</row>
    <row r="111" spans="1:17">
      <c r="A111" s="211"/>
      <c r="B111" s="211"/>
      <c r="C111" s="211"/>
      <c r="D111" s="211"/>
      <c r="E111" s="211"/>
      <c r="F111" s="486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</row>
    <row r="112" spans="1:17">
      <c r="A112" s="211"/>
      <c r="B112" s="211"/>
      <c r="C112" s="211"/>
      <c r="D112" s="211"/>
      <c r="E112" s="211"/>
      <c r="F112" s="486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</row>
    <row r="113" spans="1:17">
      <c r="A113" s="211"/>
      <c r="B113" s="211"/>
      <c r="C113" s="211"/>
      <c r="D113" s="211"/>
      <c r="E113" s="211"/>
      <c r="F113" s="486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</row>
    <row r="114" spans="1:17">
      <c r="A114" s="211"/>
      <c r="B114" s="211"/>
      <c r="C114" s="211"/>
      <c r="D114" s="211"/>
      <c r="E114" s="211"/>
      <c r="F114" s="486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</row>
    <row r="115" spans="1:17">
      <c r="A115" s="211"/>
      <c r="B115" s="211"/>
      <c r="C115" s="211"/>
      <c r="D115" s="211"/>
      <c r="E115" s="211"/>
      <c r="F115" s="486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</row>
    <row r="116" spans="1:17">
      <c r="A116" s="211"/>
      <c r="B116" s="211"/>
      <c r="C116" s="211"/>
      <c r="D116" s="211"/>
      <c r="E116" s="211"/>
      <c r="F116" s="486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</row>
    <row r="117" spans="1:17">
      <c r="A117" s="211"/>
      <c r="B117" s="211"/>
      <c r="C117" s="211"/>
      <c r="D117" s="211"/>
      <c r="E117" s="211"/>
      <c r="F117" s="486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</row>
    <row r="118" spans="1:17">
      <c r="A118" s="211"/>
      <c r="B118" s="211"/>
      <c r="C118" s="211"/>
      <c r="D118" s="211"/>
      <c r="E118" s="211"/>
      <c r="F118" s="486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</row>
    <row r="119" spans="1:17">
      <c r="A119" s="211"/>
      <c r="B119" s="211"/>
      <c r="C119" s="211"/>
      <c r="D119" s="211"/>
      <c r="E119" s="211"/>
      <c r="F119" s="486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</row>
    <row r="120" spans="1:17">
      <c r="A120" s="211"/>
      <c r="B120" s="211"/>
      <c r="C120" s="211"/>
      <c r="D120" s="211"/>
      <c r="E120" s="211"/>
      <c r="F120" s="486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</row>
    <row r="121" spans="1:17">
      <c r="A121" s="211"/>
      <c r="B121" s="211"/>
      <c r="C121" s="211"/>
      <c r="D121" s="211"/>
      <c r="E121" s="211"/>
      <c r="F121" s="486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</row>
    <row r="122" spans="1:17">
      <c r="A122" s="211"/>
      <c r="B122" s="211"/>
      <c r="C122" s="211"/>
      <c r="D122" s="211"/>
      <c r="E122" s="211"/>
      <c r="F122" s="486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</row>
    <row r="123" spans="1:17">
      <c r="A123" s="211"/>
      <c r="B123" s="211"/>
      <c r="C123" s="211"/>
      <c r="D123" s="211"/>
      <c r="E123" s="211"/>
      <c r="F123" s="486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</row>
    <row r="124" spans="1:17">
      <c r="A124" s="211"/>
      <c r="B124" s="211"/>
      <c r="C124" s="211"/>
      <c r="D124" s="211"/>
      <c r="E124" s="211"/>
      <c r="F124" s="486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</row>
    <row r="125" spans="1:17">
      <c r="A125" s="211"/>
      <c r="B125" s="211"/>
      <c r="C125" s="211"/>
      <c r="D125" s="211"/>
      <c r="E125" s="211"/>
      <c r="F125" s="486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</row>
    <row r="126" spans="1:17">
      <c r="A126" s="211"/>
      <c r="B126" s="211"/>
      <c r="C126" s="211"/>
      <c r="D126" s="211"/>
      <c r="E126" s="211"/>
      <c r="F126" s="486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</row>
    <row r="127" spans="1:17">
      <c r="A127" s="211"/>
      <c r="B127" s="211"/>
      <c r="C127" s="211"/>
      <c r="D127" s="211"/>
      <c r="E127" s="211"/>
      <c r="F127" s="486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</row>
    <row r="128" spans="1:17">
      <c r="A128" s="211"/>
      <c r="B128" s="211"/>
      <c r="C128" s="211"/>
      <c r="D128" s="211"/>
      <c r="E128" s="211"/>
      <c r="F128" s="486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</row>
    <row r="129" spans="1:17">
      <c r="A129" s="211"/>
      <c r="B129" s="211"/>
      <c r="C129" s="211"/>
      <c r="D129" s="211"/>
      <c r="E129" s="211"/>
      <c r="F129" s="486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</row>
    <row r="130" spans="1:17">
      <c r="A130" s="211"/>
      <c r="B130" s="211"/>
      <c r="C130" s="211"/>
      <c r="D130" s="211"/>
      <c r="E130" s="211"/>
      <c r="F130" s="486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</row>
    <row r="131" spans="1:17">
      <c r="A131" s="211"/>
      <c r="B131" s="211"/>
      <c r="C131" s="211"/>
      <c r="D131" s="211"/>
      <c r="E131" s="211"/>
      <c r="F131" s="486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</row>
    <row r="132" spans="1:17">
      <c r="A132" s="211"/>
      <c r="B132" s="211"/>
      <c r="C132" s="211"/>
      <c r="D132" s="211"/>
      <c r="E132" s="211"/>
      <c r="F132" s="486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</row>
    <row r="133" spans="1:17">
      <c r="A133" s="211"/>
      <c r="B133" s="211"/>
      <c r="C133" s="211"/>
      <c r="D133" s="211"/>
      <c r="E133" s="211"/>
      <c r="F133" s="486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</row>
    <row r="134" spans="1:17">
      <c r="A134" s="211"/>
      <c r="B134" s="211"/>
      <c r="C134" s="211"/>
      <c r="D134" s="211"/>
      <c r="E134" s="211"/>
      <c r="F134" s="486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</row>
    <row r="135" spans="1:17">
      <c r="A135" s="211"/>
      <c r="B135" s="211"/>
      <c r="C135" s="211"/>
      <c r="D135" s="211"/>
      <c r="E135" s="211"/>
      <c r="F135" s="486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</row>
    <row r="136" spans="1:17">
      <c r="A136" s="211"/>
      <c r="B136" s="211"/>
      <c r="C136" s="211"/>
      <c r="D136" s="211"/>
      <c r="E136" s="211"/>
      <c r="F136" s="486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</row>
    <row r="137" spans="1:17">
      <c r="A137" s="211"/>
      <c r="B137" s="211"/>
      <c r="C137" s="211"/>
      <c r="D137" s="211"/>
      <c r="E137" s="211"/>
      <c r="F137" s="486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</row>
    <row r="138" spans="1:17">
      <c r="A138" s="211"/>
      <c r="B138" s="211"/>
      <c r="C138" s="211"/>
      <c r="D138" s="211"/>
      <c r="E138" s="211"/>
      <c r="F138" s="486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</row>
    <row r="139" spans="1:17">
      <c r="A139" s="211"/>
      <c r="B139" s="211"/>
      <c r="C139" s="211"/>
      <c r="D139" s="211"/>
      <c r="E139" s="211"/>
      <c r="F139" s="486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</row>
    <row r="140" spans="1:17">
      <c r="A140" s="211"/>
      <c r="B140" s="211"/>
      <c r="C140" s="211"/>
      <c r="D140" s="211"/>
      <c r="E140" s="211"/>
      <c r="F140" s="486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</row>
    <row r="141" spans="1:17">
      <c r="A141" s="211"/>
      <c r="B141" s="211"/>
      <c r="C141" s="211"/>
      <c r="D141" s="211"/>
      <c r="E141" s="211"/>
      <c r="F141" s="486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</row>
    <row r="142" spans="1:17">
      <c r="A142" s="211"/>
      <c r="B142" s="211"/>
      <c r="C142" s="211"/>
      <c r="D142" s="211"/>
      <c r="E142" s="211"/>
      <c r="F142" s="486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</row>
    <row r="143" spans="1:17">
      <c r="A143" s="211"/>
      <c r="B143" s="211"/>
      <c r="C143" s="211"/>
      <c r="D143" s="211"/>
      <c r="E143" s="211"/>
      <c r="F143" s="486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</row>
    <row r="144" spans="1:17">
      <c r="A144" s="211"/>
      <c r="B144" s="211"/>
      <c r="C144" s="211"/>
      <c r="D144" s="211"/>
      <c r="E144" s="211"/>
      <c r="F144" s="486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</row>
    <row r="145" spans="1:17">
      <c r="A145" s="211"/>
      <c r="B145" s="211"/>
      <c r="C145" s="211"/>
      <c r="D145" s="211"/>
      <c r="E145" s="211"/>
      <c r="F145" s="486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</row>
    <row r="146" spans="1:17">
      <c r="A146" s="211"/>
      <c r="B146" s="211"/>
      <c r="C146" s="211"/>
      <c r="D146" s="211"/>
      <c r="E146" s="211"/>
      <c r="F146" s="486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</row>
    <row r="147" spans="1:17">
      <c r="A147" s="211"/>
      <c r="B147" s="211"/>
      <c r="C147" s="211"/>
      <c r="D147" s="211"/>
      <c r="E147" s="211"/>
      <c r="F147" s="486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</row>
    <row r="148" spans="1:17">
      <c r="A148" s="211"/>
      <c r="B148" s="211"/>
      <c r="C148" s="211"/>
      <c r="D148" s="211"/>
      <c r="E148" s="211"/>
      <c r="F148" s="486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</row>
    <row r="149" spans="1:17">
      <c r="A149" s="211"/>
      <c r="B149" s="211"/>
      <c r="C149" s="211"/>
      <c r="D149" s="211"/>
      <c r="E149" s="211"/>
      <c r="F149" s="486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</row>
    <row r="150" spans="1:17">
      <c r="A150" s="211"/>
      <c r="B150" s="211"/>
      <c r="C150" s="211"/>
      <c r="D150" s="211"/>
      <c r="E150" s="211"/>
      <c r="F150" s="486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</row>
    <row r="151" spans="1:17">
      <c r="A151" s="211"/>
      <c r="B151" s="211"/>
      <c r="C151" s="211"/>
      <c r="D151" s="211"/>
      <c r="E151" s="211"/>
      <c r="F151" s="486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</row>
    <row r="152" spans="1:17">
      <c r="A152" s="211"/>
      <c r="B152" s="211"/>
      <c r="C152" s="211"/>
      <c r="D152" s="211"/>
      <c r="E152" s="211"/>
      <c r="F152" s="486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</row>
    <row r="153" spans="1:17">
      <c r="A153" s="211"/>
      <c r="B153" s="211"/>
      <c r="C153" s="211"/>
      <c r="D153" s="211"/>
      <c r="E153" s="211"/>
      <c r="F153" s="486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</row>
    <row r="154" spans="1:17">
      <c r="A154" s="211"/>
      <c r="B154" s="211"/>
      <c r="C154" s="211"/>
      <c r="D154" s="211"/>
      <c r="E154" s="211"/>
      <c r="F154" s="486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</row>
    <row r="155" spans="1:17">
      <c r="A155" s="211"/>
      <c r="B155" s="211"/>
      <c r="C155" s="211"/>
      <c r="D155" s="211"/>
      <c r="E155" s="211"/>
      <c r="F155" s="486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</row>
    <row r="156" spans="1:17">
      <c r="A156" s="211"/>
      <c r="B156" s="211"/>
      <c r="C156" s="211"/>
      <c r="D156" s="211"/>
      <c r="E156" s="211"/>
      <c r="F156" s="486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</row>
    <row r="157" spans="1:17">
      <c r="A157" s="211"/>
      <c r="B157" s="211"/>
      <c r="C157" s="211"/>
      <c r="D157" s="211"/>
      <c r="E157" s="211"/>
      <c r="F157" s="486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</row>
    <row r="158" spans="1:17">
      <c r="A158" s="211"/>
      <c r="B158" s="211"/>
      <c r="C158" s="211"/>
      <c r="D158" s="211"/>
      <c r="E158" s="211"/>
      <c r="F158" s="486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</row>
    <row r="159" spans="1:17">
      <c r="A159" s="211"/>
      <c r="B159" s="211"/>
      <c r="C159" s="211"/>
      <c r="D159" s="211"/>
      <c r="E159" s="211"/>
      <c r="F159" s="486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</row>
    <row r="160" spans="1:17">
      <c r="A160" s="211"/>
      <c r="B160" s="211"/>
      <c r="C160" s="211"/>
      <c r="D160" s="211"/>
      <c r="E160" s="211"/>
      <c r="F160" s="486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</row>
    <row r="161" spans="1:17">
      <c r="A161" s="211"/>
      <c r="B161" s="211"/>
      <c r="C161" s="211"/>
      <c r="D161" s="211"/>
      <c r="E161" s="211"/>
      <c r="F161" s="486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</row>
    <row r="162" spans="1:17">
      <c r="A162" s="211"/>
      <c r="B162" s="211"/>
      <c r="C162" s="211"/>
      <c r="D162" s="211"/>
      <c r="E162" s="211"/>
      <c r="F162" s="486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</row>
    <row r="163" spans="1:17">
      <c r="A163" s="211"/>
      <c r="B163" s="211"/>
      <c r="C163" s="211"/>
      <c r="D163" s="211"/>
      <c r="E163" s="211"/>
      <c r="F163" s="486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</row>
    <row r="164" spans="1:17">
      <c r="A164" s="211"/>
      <c r="B164" s="211"/>
      <c r="C164" s="211"/>
      <c r="D164" s="211"/>
      <c r="E164" s="211"/>
      <c r="F164" s="486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</row>
    <row r="165" spans="1:17">
      <c r="A165" s="211"/>
      <c r="B165" s="211"/>
      <c r="C165" s="211"/>
      <c r="D165" s="211"/>
      <c r="E165" s="211"/>
      <c r="F165" s="486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</row>
    <row r="166" spans="1:17">
      <c r="A166" s="211"/>
      <c r="B166" s="211"/>
      <c r="C166" s="211"/>
      <c r="D166" s="211"/>
      <c r="E166" s="211"/>
      <c r="F166" s="486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</row>
    <row r="167" spans="1:17">
      <c r="A167" s="211"/>
      <c r="B167" s="211"/>
      <c r="C167" s="211"/>
      <c r="D167" s="211"/>
      <c r="E167" s="211"/>
      <c r="F167" s="486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</row>
    <row r="168" spans="1:17">
      <c r="A168" s="211"/>
      <c r="B168" s="211"/>
      <c r="C168" s="211"/>
      <c r="D168" s="211"/>
      <c r="E168" s="211"/>
      <c r="F168" s="486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</row>
    <row r="169" spans="1:17">
      <c r="A169" s="211"/>
      <c r="B169" s="211"/>
      <c r="C169" s="211"/>
      <c r="D169" s="211"/>
      <c r="E169" s="211"/>
      <c r="F169" s="486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</row>
    <row r="170" spans="1:17">
      <c r="A170" s="211"/>
      <c r="B170" s="211"/>
      <c r="C170" s="211"/>
      <c r="D170" s="211"/>
      <c r="E170" s="211"/>
      <c r="F170" s="486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</row>
    <row r="171" spans="1:17">
      <c r="A171" s="211"/>
      <c r="B171" s="211"/>
      <c r="C171" s="211"/>
      <c r="D171" s="211"/>
      <c r="E171" s="211"/>
      <c r="F171" s="486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</row>
    <row r="172" spans="1:17">
      <c r="A172" s="211"/>
      <c r="B172" s="211"/>
      <c r="C172" s="211"/>
      <c r="D172" s="211"/>
      <c r="E172" s="211"/>
      <c r="F172" s="486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</row>
    <row r="173" spans="1:17">
      <c r="A173" s="211"/>
      <c r="B173" s="211"/>
      <c r="C173" s="211"/>
      <c r="D173" s="211"/>
      <c r="E173" s="211"/>
      <c r="F173" s="486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</row>
    <row r="174" spans="1:17">
      <c r="A174" s="211"/>
      <c r="B174" s="211"/>
      <c r="C174" s="211"/>
      <c r="D174" s="211"/>
      <c r="E174" s="211"/>
      <c r="F174" s="486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</row>
    <row r="175" spans="1:17">
      <c r="A175" s="211"/>
      <c r="B175" s="211"/>
      <c r="C175" s="211"/>
      <c r="D175" s="211"/>
      <c r="E175" s="211"/>
      <c r="F175" s="486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</row>
    <row r="176" spans="1:17">
      <c r="A176" s="211"/>
      <c r="B176" s="211"/>
      <c r="C176" s="211"/>
      <c r="D176" s="211"/>
      <c r="E176" s="211"/>
      <c r="F176" s="486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</row>
    <row r="177" spans="1:17">
      <c r="A177" s="211"/>
      <c r="B177" s="211"/>
      <c r="C177" s="211"/>
      <c r="D177" s="211"/>
      <c r="E177" s="211"/>
      <c r="F177" s="486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</row>
    <row r="178" spans="1:17">
      <c r="A178" s="211"/>
      <c r="B178" s="211"/>
      <c r="C178" s="211"/>
      <c r="D178" s="211"/>
      <c r="E178" s="211"/>
      <c r="F178" s="486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</row>
    <row r="179" spans="1:17">
      <c r="A179" s="211"/>
      <c r="B179" s="211"/>
      <c r="C179" s="211"/>
      <c r="D179" s="211"/>
      <c r="E179" s="211"/>
      <c r="F179" s="486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</row>
    <row r="180" spans="1:17">
      <c r="A180" s="211"/>
      <c r="B180" s="211"/>
      <c r="C180" s="211"/>
      <c r="D180" s="211"/>
      <c r="E180" s="211"/>
      <c r="F180" s="486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</row>
    <row r="181" spans="1:17">
      <c r="A181" s="211"/>
      <c r="B181" s="211"/>
      <c r="C181" s="211"/>
      <c r="D181" s="211"/>
      <c r="E181" s="211"/>
      <c r="F181" s="486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</row>
    <row r="182" spans="1:17">
      <c r="A182" s="211"/>
      <c r="B182" s="211"/>
      <c r="C182" s="211"/>
      <c r="D182" s="211"/>
      <c r="E182" s="211"/>
      <c r="F182" s="486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</row>
    <row r="183" spans="1:17">
      <c r="A183" s="211"/>
      <c r="B183" s="211"/>
      <c r="C183" s="211"/>
      <c r="D183" s="211"/>
      <c r="E183" s="211"/>
      <c r="F183" s="486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</row>
    <row r="184" spans="1:17">
      <c r="A184" s="211"/>
      <c r="B184" s="211"/>
      <c r="C184" s="211"/>
      <c r="D184" s="211"/>
      <c r="E184" s="211"/>
      <c r="F184" s="486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</row>
    <row r="185" spans="1:17">
      <c r="A185" s="211"/>
      <c r="B185" s="211"/>
      <c r="C185" s="211"/>
      <c r="D185" s="211"/>
      <c r="E185" s="211"/>
      <c r="F185" s="486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</row>
    <row r="186" spans="1:17">
      <c r="A186" s="211"/>
      <c r="B186" s="211"/>
      <c r="C186" s="211"/>
      <c r="D186" s="211"/>
      <c r="E186" s="211"/>
      <c r="F186" s="486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</row>
    <row r="187" spans="1:17">
      <c r="A187" s="211"/>
      <c r="B187" s="211"/>
      <c r="C187" s="211"/>
      <c r="D187" s="211"/>
      <c r="E187" s="211"/>
      <c r="F187" s="486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</row>
    <row r="188" spans="1:17">
      <c r="A188" s="211"/>
      <c r="B188" s="211"/>
      <c r="C188" s="211"/>
      <c r="D188" s="211"/>
      <c r="E188" s="211"/>
      <c r="F188" s="486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</row>
    <row r="189" spans="1:17">
      <c r="A189" s="211"/>
      <c r="B189" s="211"/>
      <c r="C189" s="211"/>
      <c r="D189" s="211"/>
      <c r="E189" s="211"/>
      <c r="F189" s="486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</row>
    <row r="190" spans="1:17">
      <c r="A190" s="211"/>
      <c r="B190" s="211"/>
      <c r="C190" s="211"/>
      <c r="D190" s="211"/>
      <c r="E190" s="211"/>
      <c r="F190" s="486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</row>
    <row r="191" spans="1:17">
      <c r="A191" s="211"/>
      <c r="B191" s="211"/>
      <c r="C191" s="211"/>
      <c r="D191" s="211"/>
      <c r="E191" s="211"/>
      <c r="F191" s="486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</row>
    <row r="192" spans="1:17">
      <c r="A192" s="211"/>
      <c r="B192" s="211"/>
      <c r="C192" s="211"/>
      <c r="D192" s="211"/>
      <c r="E192" s="211"/>
      <c r="F192" s="486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</row>
    <row r="193" spans="1:17">
      <c r="A193" s="211"/>
      <c r="B193" s="211"/>
      <c r="C193" s="211"/>
      <c r="D193" s="211"/>
      <c r="E193" s="211"/>
      <c r="F193" s="486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</row>
    <row r="194" spans="1:17">
      <c r="A194" s="211"/>
      <c r="B194" s="211"/>
      <c r="C194" s="211"/>
      <c r="D194" s="211"/>
      <c r="E194" s="211"/>
      <c r="F194" s="486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</row>
    <row r="195" spans="1:17">
      <c r="A195" s="211"/>
      <c r="B195" s="211"/>
      <c r="C195" s="211"/>
      <c r="D195" s="211"/>
      <c r="E195" s="211"/>
      <c r="F195" s="486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</row>
    <row r="196" spans="1:17">
      <c r="A196" s="211"/>
      <c r="B196" s="211"/>
      <c r="C196" s="211"/>
      <c r="D196" s="211"/>
      <c r="E196" s="211"/>
      <c r="F196" s="486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</row>
    <row r="197" spans="1:17">
      <c r="A197" s="211"/>
      <c r="B197" s="211"/>
      <c r="C197" s="211"/>
      <c r="D197" s="211"/>
      <c r="E197" s="211"/>
      <c r="F197" s="486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</row>
    <row r="198" spans="1:17">
      <c r="A198" s="211"/>
      <c r="B198" s="211"/>
      <c r="C198" s="211"/>
      <c r="D198" s="211"/>
      <c r="E198" s="211"/>
      <c r="F198" s="486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</row>
    <row r="199" spans="1:17">
      <c r="A199" s="211"/>
      <c r="B199" s="211"/>
      <c r="C199" s="211"/>
      <c r="D199" s="211"/>
      <c r="E199" s="211"/>
      <c r="F199" s="486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</row>
    <row r="200" spans="1:17">
      <c r="A200" s="211"/>
      <c r="B200" s="211"/>
      <c r="C200" s="211"/>
      <c r="D200" s="211"/>
      <c r="E200" s="211"/>
      <c r="F200" s="486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</row>
    <row r="201" spans="1:17">
      <c r="A201" s="211"/>
      <c r="B201" s="211"/>
      <c r="C201" s="211"/>
      <c r="D201" s="211"/>
      <c r="E201" s="211"/>
      <c r="F201" s="486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</row>
    <row r="202" spans="1:17">
      <c r="A202" s="211"/>
      <c r="B202" s="211"/>
      <c r="C202" s="211"/>
      <c r="D202" s="211"/>
      <c r="E202" s="211"/>
      <c r="F202" s="486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</row>
    <row r="203" spans="1:17">
      <c r="A203" s="211"/>
      <c r="B203" s="211"/>
      <c r="C203" s="211"/>
      <c r="D203" s="211"/>
      <c r="E203" s="211"/>
      <c r="F203" s="486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</row>
    <row r="204" spans="1:17">
      <c r="A204" s="211"/>
      <c r="B204" s="211"/>
      <c r="C204" s="211"/>
      <c r="D204" s="211"/>
      <c r="E204" s="211"/>
      <c r="F204" s="486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</row>
    <row r="205" spans="1:17">
      <c r="A205" s="211"/>
      <c r="B205" s="211"/>
      <c r="C205" s="211"/>
      <c r="D205" s="211"/>
      <c r="E205" s="211"/>
      <c r="F205" s="486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</row>
    <row r="206" spans="1:17">
      <c r="A206" s="211"/>
      <c r="B206" s="211"/>
      <c r="C206" s="211"/>
      <c r="D206" s="211"/>
      <c r="E206" s="211"/>
      <c r="F206" s="486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</row>
    <row r="207" spans="1:17">
      <c r="A207" s="211"/>
      <c r="B207" s="211"/>
      <c r="C207" s="211"/>
      <c r="D207" s="211"/>
      <c r="E207" s="211"/>
      <c r="F207" s="486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</row>
    <row r="208" spans="1:17">
      <c r="A208" s="211"/>
      <c r="B208" s="211"/>
      <c r="C208" s="211"/>
      <c r="D208" s="211"/>
      <c r="E208" s="211"/>
      <c r="F208" s="486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</row>
    <row r="209" spans="1:17">
      <c r="A209" s="211"/>
      <c r="B209" s="211"/>
      <c r="C209" s="211"/>
      <c r="D209" s="211"/>
      <c r="E209" s="211"/>
      <c r="F209" s="486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</row>
    <row r="210" spans="1:17">
      <c r="A210" s="211"/>
      <c r="B210" s="211"/>
      <c r="C210" s="211"/>
      <c r="D210" s="211"/>
      <c r="E210" s="211"/>
      <c r="F210" s="486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</row>
    <row r="211" spans="1:17">
      <c r="A211" s="211"/>
      <c r="B211" s="211"/>
      <c r="C211" s="211"/>
      <c r="D211" s="211"/>
      <c r="E211" s="211"/>
      <c r="F211" s="486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</row>
    <row r="212" spans="1:17">
      <c r="A212" s="211"/>
      <c r="B212" s="211"/>
      <c r="C212" s="211"/>
      <c r="D212" s="211"/>
      <c r="E212" s="211"/>
      <c r="F212" s="486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</row>
    <row r="213" spans="1:17">
      <c r="A213" s="211"/>
      <c r="B213" s="211"/>
      <c r="C213" s="211"/>
      <c r="D213" s="211"/>
      <c r="E213" s="211"/>
      <c r="F213" s="486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</row>
    <row r="214" spans="1:17">
      <c r="A214" s="211"/>
      <c r="B214" s="211"/>
      <c r="C214" s="211"/>
      <c r="D214" s="211"/>
      <c r="E214" s="211"/>
      <c r="F214" s="486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</row>
    <row r="215" spans="1:17">
      <c r="A215" s="211"/>
      <c r="B215" s="211"/>
      <c r="C215" s="211"/>
      <c r="D215" s="211"/>
      <c r="E215" s="211"/>
      <c r="F215" s="486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</row>
    <row r="216" spans="1:17">
      <c r="A216" s="211"/>
      <c r="B216" s="211"/>
      <c r="C216" s="211"/>
      <c r="D216" s="211"/>
      <c r="E216" s="211"/>
      <c r="F216" s="486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</row>
    <row r="217" spans="1:17">
      <c r="A217" s="211"/>
      <c r="B217" s="211"/>
      <c r="C217" s="211"/>
      <c r="D217" s="211"/>
      <c r="E217" s="211"/>
      <c r="F217" s="486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</row>
    <row r="218" spans="1:17">
      <c r="A218" s="211"/>
      <c r="B218" s="211"/>
      <c r="C218" s="211"/>
      <c r="D218" s="211"/>
      <c r="E218" s="211"/>
      <c r="F218" s="486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</row>
    <row r="219" spans="1:17">
      <c r="A219" s="211"/>
      <c r="B219" s="211"/>
      <c r="C219" s="211"/>
      <c r="D219" s="211"/>
      <c r="E219" s="211"/>
      <c r="F219" s="486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</row>
    <row r="220" spans="1:17">
      <c r="A220" s="211"/>
      <c r="B220" s="211"/>
      <c r="C220" s="211"/>
      <c r="D220" s="211"/>
      <c r="E220" s="211"/>
      <c r="F220" s="486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</row>
    <row r="221" spans="1:17">
      <c r="A221" s="211"/>
      <c r="B221" s="211"/>
      <c r="C221" s="211"/>
      <c r="D221" s="211"/>
      <c r="E221" s="211"/>
      <c r="F221" s="486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</row>
    <row r="222" spans="1:17">
      <c r="A222" s="211"/>
      <c r="B222" s="211"/>
      <c r="C222" s="211"/>
      <c r="D222" s="211"/>
      <c r="E222" s="211"/>
      <c r="F222" s="486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</row>
    <row r="223" spans="1:17">
      <c r="A223" s="211"/>
      <c r="B223" s="211"/>
      <c r="C223" s="211"/>
      <c r="D223" s="211"/>
      <c r="E223" s="211"/>
      <c r="F223" s="486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</row>
    <row r="224" spans="1:17">
      <c r="A224" s="211"/>
      <c r="B224" s="211"/>
      <c r="C224" s="211"/>
      <c r="D224" s="211"/>
      <c r="E224" s="211"/>
      <c r="F224" s="486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</row>
    <row r="225" spans="1:17">
      <c r="A225" s="211"/>
      <c r="B225" s="211"/>
      <c r="C225" s="211"/>
      <c r="D225" s="211"/>
      <c r="E225" s="211"/>
      <c r="F225" s="486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</row>
    <row r="226" spans="1:17">
      <c r="A226" s="211"/>
      <c r="B226" s="211"/>
      <c r="C226" s="211"/>
      <c r="D226" s="211"/>
      <c r="E226" s="211"/>
      <c r="F226" s="486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</row>
    <row r="227" spans="1:17">
      <c r="A227" s="211"/>
      <c r="B227" s="211"/>
      <c r="C227" s="211"/>
      <c r="D227" s="211"/>
      <c r="E227" s="211"/>
      <c r="F227" s="486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</row>
    <row r="228" spans="1:17">
      <c r="A228" s="211"/>
      <c r="B228" s="211"/>
      <c r="C228" s="211"/>
      <c r="D228" s="211"/>
      <c r="E228" s="211"/>
      <c r="F228" s="486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</row>
    <row r="229" spans="1:17">
      <c r="A229" s="211"/>
      <c r="B229" s="211"/>
      <c r="C229" s="211"/>
      <c r="D229" s="211"/>
      <c r="E229" s="211"/>
      <c r="F229" s="486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</row>
    <row r="230" spans="1:17">
      <c r="A230" s="211"/>
      <c r="B230" s="211"/>
      <c r="C230" s="211"/>
      <c r="D230" s="211"/>
      <c r="E230" s="211"/>
      <c r="F230" s="486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</row>
    <row r="231" spans="1:17">
      <c r="A231" s="211"/>
      <c r="B231" s="211"/>
      <c r="C231" s="211"/>
      <c r="D231" s="211"/>
      <c r="E231" s="211"/>
      <c r="F231" s="486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</row>
    <row r="232" spans="1:17">
      <c r="A232" s="211"/>
      <c r="B232" s="211"/>
      <c r="C232" s="211"/>
      <c r="D232" s="211"/>
      <c r="E232" s="211"/>
      <c r="F232" s="486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</row>
    <row r="233" spans="1:17">
      <c r="A233" s="211"/>
      <c r="B233" s="211"/>
      <c r="C233" s="211"/>
      <c r="D233" s="211"/>
      <c r="E233" s="211"/>
      <c r="F233" s="486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</row>
    <row r="234" spans="1:17">
      <c r="A234" s="211"/>
      <c r="B234" s="211"/>
      <c r="C234" s="211"/>
      <c r="D234" s="211"/>
      <c r="E234" s="211"/>
      <c r="F234" s="486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</row>
    <row r="235" spans="1:17">
      <c r="A235" s="211"/>
      <c r="B235" s="211"/>
      <c r="C235" s="211"/>
      <c r="D235" s="211"/>
      <c r="E235" s="211"/>
      <c r="F235" s="486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</row>
    <row r="236" spans="1:17">
      <c r="A236" s="211"/>
      <c r="B236" s="211"/>
      <c r="C236" s="211"/>
      <c r="D236" s="211"/>
      <c r="E236" s="211"/>
      <c r="F236" s="486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</row>
    <row r="237" spans="1:17">
      <c r="A237" s="211"/>
      <c r="B237" s="211"/>
      <c r="C237" s="211"/>
      <c r="D237" s="211"/>
      <c r="E237" s="211"/>
      <c r="F237" s="486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</row>
    <row r="238" spans="1:17">
      <c r="A238" s="211"/>
      <c r="B238" s="211"/>
      <c r="C238" s="211"/>
      <c r="D238" s="211"/>
      <c r="E238" s="211"/>
      <c r="F238" s="486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</row>
    <row r="239" spans="1:17">
      <c r="A239" s="211"/>
      <c r="B239" s="211"/>
      <c r="C239" s="211"/>
      <c r="D239" s="211"/>
      <c r="E239" s="211"/>
      <c r="F239" s="486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</row>
    <row r="240" spans="1:17">
      <c r="A240" s="211"/>
      <c r="B240" s="211"/>
      <c r="C240" s="211"/>
      <c r="D240" s="211"/>
      <c r="E240" s="211"/>
      <c r="F240" s="486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</row>
    <row r="241" spans="1:17">
      <c r="A241" s="211"/>
      <c r="B241" s="211"/>
      <c r="C241" s="211"/>
      <c r="D241" s="211"/>
      <c r="E241" s="211"/>
      <c r="F241" s="486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</row>
    <row r="242" spans="1:17">
      <c r="A242" s="211"/>
      <c r="B242" s="211"/>
      <c r="C242" s="211"/>
      <c r="D242" s="211"/>
      <c r="E242" s="211"/>
      <c r="F242" s="486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</row>
    <row r="243" spans="1:17">
      <c r="A243" s="211"/>
      <c r="B243" s="211"/>
      <c r="C243" s="211"/>
      <c r="D243" s="211"/>
      <c r="E243" s="211"/>
      <c r="F243" s="486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</row>
    <row r="244" spans="1:17">
      <c r="A244" s="211"/>
      <c r="B244" s="211"/>
      <c r="C244" s="211"/>
      <c r="D244" s="211"/>
      <c r="E244" s="211"/>
      <c r="F244" s="486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</row>
    <row r="245" spans="1:17">
      <c r="A245" s="211"/>
      <c r="B245" s="211"/>
      <c r="C245" s="211"/>
      <c r="D245" s="211"/>
      <c r="E245" s="211"/>
      <c r="F245" s="486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</row>
    <row r="246" spans="1:17">
      <c r="A246" s="211"/>
      <c r="B246" s="211"/>
      <c r="C246" s="211"/>
      <c r="D246" s="211"/>
      <c r="E246" s="211"/>
      <c r="F246" s="486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</row>
    <row r="247" spans="1:17">
      <c r="A247" s="211"/>
      <c r="B247" s="211"/>
      <c r="C247" s="211"/>
      <c r="D247" s="211"/>
      <c r="E247" s="211"/>
      <c r="F247" s="486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</row>
    <row r="248" spans="1:17">
      <c r="A248" s="211"/>
      <c r="B248" s="211"/>
      <c r="C248" s="211"/>
      <c r="D248" s="211"/>
      <c r="E248" s="211"/>
      <c r="F248" s="486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</row>
    <row r="249" spans="1:17">
      <c r="A249" s="211"/>
      <c r="B249" s="211"/>
      <c r="C249" s="211"/>
      <c r="D249" s="211"/>
      <c r="E249" s="211"/>
      <c r="F249" s="486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</row>
    <row r="250" spans="1:17">
      <c r="A250" s="211"/>
      <c r="B250" s="211"/>
      <c r="C250" s="211"/>
      <c r="D250" s="211"/>
      <c r="E250" s="211"/>
      <c r="F250" s="486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</row>
    <row r="251" spans="1:17">
      <c r="A251" s="211"/>
      <c r="B251" s="211"/>
      <c r="C251" s="211"/>
      <c r="D251" s="211"/>
      <c r="E251" s="211"/>
      <c r="F251" s="486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</row>
    <row r="252" spans="1:17">
      <c r="A252" s="211"/>
      <c r="B252" s="211"/>
      <c r="C252" s="211"/>
      <c r="D252" s="211"/>
      <c r="E252" s="211"/>
      <c r="F252" s="486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</row>
    <row r="253" spans="1:17">
      <c r="A253" s="211"/>
      <c r="B253" s="211"/>
      <c r="C253" s="211"/>
      <c r="D253" s="211"/>
      <c r="E253" s="211"/>
      <c r="F253" s="486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</row>
    <row r="254" spans="1:17">
      <c r="A254" s="211"/>
      <c r="B254" s="211"/>
      <c r="C254" s="211"/>
      <c r="D254" s="211"/>
      <c r="E254" s="211"/>
      <c r="F254" s="486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</row>
    <row r="255" spans="1:17">
      <c r="A255" s="211"/>
      <c r="B255" s="211"/>
      <c r="C255" s="211"/>
      <c r="D255" s="211"/>
      <c r="E255" s="211"/>
      <c r="F255" s="486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</row>
    <row r="256" spans="1:17">
      <c r="A256" s="211"/>
      <c r="B256" s="211"/>
      <c r="C256" s="211"/>
      <c r="D256" s="211"/>
      <c r="E256" s="211"/>
      <c r="F256" s="486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</row>
    <row r="257" spans="1:17">
      <c r="A257" s="211"/>
      <c r="B257" s="211"/>
      <c r="C257" s="211"/>
      <c r="D257" s="211"/>
      <c r="E257" s="211"/>
      <c r="F257" s="486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</row>
    <row r="258" spans="1:17">
      <c r="A258" s="211"/>
      <c r="B258" s="211"/>
      <c r="C258" s="211"/>
      <c r="D258" s="211"/>
      <c r="E258" s="211"/>
      <c r="F258" s="486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</row>
    <row r="259" spans="1:17">
      <c r="A259" s="211"/>
      <c r="B259" s="211"/>
      <c r="C259" s="211"/>
      <c r="D259" s="211"/>
      <c r="E259" s="211"/>
      <c r="F259" s="486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</row>
    <row r="260" spans="1:17">
      <c r="A260" s="211"/>
      <c r="B260" s="211"/>
      <c r="C260" s="211"/>
      <c r="D260" s="211"/>
      <c r="E260" s="211"/>
      <c r="F260" s="486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</row>
    <row r="261" spans="1:17">
      <c r="A261" s="211"/>
      <c r="B261" s="211"/>
      <c r="C261" s="211"/>
      <c r="D261" s="211"/>
      <c r="E261" s="211"/>
      <c r="F261" s="486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</row>
    <row r="262" spans="1:17">
      <c r="A262" s="211"/>
      <c r="B262" s="211"/>
      <c r="C262" s="211"/>
      <c r="D262" s="211"/>
      <c r="E262" s="211"/>
      <c r="F262" s="486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</row>
    <row r="263" spans="1:17">
      <c r="A263" s="211"/>
      <c r="B263" s="211"/>
      <c r="C263" s="211"/>
      <c r="D263" s="211"/>
      <c r="E263" s="211"/>
      <c r="F263" s="486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</row>
    <row r="264" spans="1:17">
      <c r="A264" s="211"/>
      <c r="B264" s="211"/>
      <c r="C264" s="211"/>
      <c r="D264" s="211"/>
      <c r="E264" s="211"/>
      <c r="F264" s="486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</row>
    <row r="265" spans="1:17">
      <c r="A265" s="211"/>
      <c r="B265" s="211"/>
      <c r="C265" s="211"/>
      <c r="D265" s="211"/>
      <c r="E265" s="211"/>
      <c r="F265" s="486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</row>
    <row r="266" spans="1:17">
      <c r="A266" s="211"/>
      <c r="B266" s="211"/>
      <c r="C266" s="211"/>
      <c r="D266" s="211"/>
      <c r="E266" s="211"/>
      <c r="F266" s="486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</row>
    <row r="267" spans="1:17">
      <c r="A267" s="211"/>
      <c r="B267" s="211"/>
      <c r="C267" s="211"/>
      <c r="D267" s="211"/>
      <c r="E267" s="211"/>
      <c r="F267" s="486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</row>
    <row r="268" spans="1:17">
      <c r="A268" s="211"/>
      <c r="B268" s="211"/>
      <c r="C268" s="211"/>
      <c r="D268" s="211"/>
      <c r="E268" s="211"/>
      <c r="F268" s="486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</row>
    <row r="269" spans="1:17">
      <c r="A269" s="211"/>
      <c r="B269" s="211"/>
      <c r="C269" s="211"/>
      <c r="D269" s="211"/>
      <c r="E269" s="211"/>
      <c r="F269" s="486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</row>
    <row r="270" spans="1:17">
      <c r="A270" s="211"/>
      <c r="B270" s="211"/>
      <c r="C270" s="211"/>
      <c r="D270" s="211"/>
      <c r="E270" s="211"/>
      <c r="F270" s="486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</row>
    <row r="271" spans="1:17">
      <c r="A271" s="211"/>
      <c r="B271" s="211"/>
      <c r="C271" s="211"/>
      <c r="D271" s="211"/>
      <c r="E271" s="211"/>
      <c r="F271" s="486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</row>
    <row r="272" spans="1:17">
      <c r="A272" s="211"/>
      <c r="B272" s="211"/>
      <c r="C272" s="211"/>
      <c r="D272" s="211"/>
      <c r="E272" s="211"/>
      <c r="F272" s="486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</row>
    <row r="273" spans="1:17">
      <c r="A273" s="211"/>
      <c r="B273" s="211"/>
      <c r="C273" s="211"/>
      <c r="D273" s="211"/>
      <c r="E273" s="211"/>
      <c r="F273" s="486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</row>
    <row r="274" spans="1:17">
      <c r="A274" s="211"/>
      <c r="B274" s="211"/>
      <c r="C274" s="211"/>
      <c r="D274" s="211"/>
      <c r="E274" s="211"/>
      <c r="F274" s="486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</row>
    <row r="275" spans="1:17">
      <c r="A275" s="211"/>
      <c r="B275" s="211"/>
      <c r="C275" s="211"/>
      <c r="D275" s="211"/>
      <c r="E275" s="211"/>
      <c r="F275" s="486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</row>
    <row r="276" spans="1:17">
      <c r="A276" s="211"/>
      <c r="B276" s="211"/>
      <c r="C276" s="211"/>
      <c r="D276" s="211"/>
      <c r="E276" s="211"/>
      <c r="F276" s="486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</row>
    <row r="277" spans="1:17">
      <c r="A277" s="211"/>
      <c r="B277" s="211"/>
      <c r="C277" s="211"/>
      <c r="D277" s="211"/>
      <c r="E277" s="211"/>
      <c r="F277" s="486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</row>
    <row r="278" spans="1:17">
      <c r="A278" s="211"/>
      <c r="B278" s="211"/>
      <c r="C278" s="211"/>
      <c r="D278" s="211"/>
      <c r="E278" s="211"/>
      <c r="F278" s="486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</row>
    <row r="279" spans="1:17">
      <c r="A279" s="211"/>
      <c r="B279" s="211"/>
      <c r="C279" s="211"/>
      <c r="D279" s="211"/>
      <c r="E279" s="211"/>
      <c r="F279" s="486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</row>
    <row r="280" spans="1:17">
      <c r="A280" s="211"/>
      <c r="B280" s="211"/>
      <c r="C280" s="211"/>
      <c r="D280" s="211"/>
      <c r="E280" s="211"/>
      <c r="F280" s="486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</row>
    <row r="281" spans="1:17">
      <c r="A281" s="211"/>
      <c r="B281" s="211"/>
      <c r="C281" s="211"/>
      <c r="D281" s="211"/>
      <c r="E281" s="211"/>
      <c r="F281" s="486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</row>
    <row r="282" spans="1:17">
      <c r="A282" s="211"/>
      <c r="B282" s="211"/>
      <c r="C282" s="211"/>
      <c r="D282" s="211"/>
      <c r="E282" s="211"/>
      <c r="F282" s="486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</row>
    <row r="283" spans="1:17">
      <c r="A283" s="211"/>
      <c r="B283" s="211"/>
      <c r="C283" s="211"/>
      <c r="D283" s="211"/>
      <c r="E283" s="211"/>
      <c r="F283" s="486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</row>
    <row r="284" spans="1:17">
      <c r="A284" s="211"/>
      <c r="B284" s="211"/>
      <c r="C284" s="211"/>
      <c r="D284" s="211"/>
      <c r="E284" s="211"/>
      <c r="F284" s="486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</row>
    <row r="285" spans="1:17">
      <c r="A285" s="211"/>
      <c r="B285" s="211"/>
      <c r="C285" s="211"/>
      <c r="D285" s="211"/>
      <c r="E285" s="211"/>
      <c r="F285" s="486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</row>
    <row r="286" spans="1:17">
      <c r="A286" s="211"/>
      <c r="B286" s="211"/>
      <c r="C286" s="211"/>
      <c r="D286" s="211"/>
      <c r="E286" s="211"/>
      <c r="F286" s="486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</row>
    <row r="287" spans="1:17">
      <c r="A287" s="211"/>
      <c r="B287" s="211"/>
      <c r="C287" s="211"/>
      <c r="D287" s="211"/>
      <c r="E287" s="211"/>
      <c r="F287" s="486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</row>
    <row r="288" spans="1:17">
      <c r="A288" s="211"/>
      <c r="B288" s="211"/>
      <c r="C288" s="211"/>
      <c r="D288" s="211"/>
      <c r="E288" s="211"/>
      <c r="F288" s="486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</row>
    <row r="289" spans="1:17">
      <c r="A289" s="211"/>
      <c r="B289" s="211"/>
      <c r="C289" s="211"/>
      <c r="D289" s="211"/>
      <c r="E289" s="211"/>
      <c r="F289" s="486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</row>
    <row r="290" spans="1:17">
      <c r="A290" s="211"/>
      <c r="B290" s="211"/>
      <c r="C290" s="211"/>
      <c r="D290" s="211"/>
      <c r="E290" s="211"/>
      <c r="F290" s="486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</row>
    <row r="291" spans="1:17">
      <c r="A291" s="211"/>
      <c r="B291" s="211"/>
      <c r="C291" s="211"/>
      <c r="D291" s="211"/>
      <c r="E291" s="211"/>
      <c r="F291" s="486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</row>
    <row r="292" spans="1:17">
      <c r="A292" s="211"/>
      <c r="B292" s="211"/>
      <c r="C292" s="211"/>
      <c r="D292" s="211"/>
      <c r="E292" s="211"/>
      <c r="F292" s="486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</row>
    <row r="293" spans="1:17">
      <c r="A293" s="211"/>
      <c r="B293" s="211"/>
      <c r="C293" s="211"/>
      <c r="D293" s="211"/>
      <c r="E293" s="211"/>
      <c r="F293" s="486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</row>
    <row r="294" spans="1:17">
      <c r="A294" s="211"/>
      <c r="B294" s="211"/>
      <c r="C294" s="211"/>
      <c r="D294" s="211"/>
      <c r="E294" s="211"/>
      <c r="F294" s="486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</row>
    <row r="295" spans="1:17">
      <c r="A295" s="211"/>
      <c r="B295" s="211"/>
      <c r="C295" s="211"/>
      <c r="D295" s="211"/>
      <c r="E295" s="211"/>
      <c r="F295" s="486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</row>
    <row r="296" spans="1:17">
      <c r="A296" s="211"/>
      <c r="B296" s="211"/>
      <c r="C296" s="211"/>
      <c r="D296" s="211"/>
      <c r="E296" s="211"/>
      <c r="F296" s="486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</row>
    <row r="297" spans="1:17">
      <c r="A297" s="211"/>
      <c r="B297" s="211"/>
      <c r="C297" s="211"/>
      <c r="D297" s="211"/>
      <c r="E297" s="211"/>
      <c r="F297" s="486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</row>
    <row r="298" spans="1:17">
      <c r="A298" s="211"/>
      <c r="B298" s="211"/>
      <c r="C298" s="211"/>
      <c r="D298" s="211"/>
      <c r="E298" s="211"/>
      <c r="F298" s="486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</row>
    <row r="299" spans="1:17">
      <c r="A299" s="211"/>
      <c r="B299" s="211"/>
      <c r="C299" s="211"/>
      <c r="D299" s="211"/>
      <c r="E299" s="211"/>
      <c r="F299" s="486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</row>
    <row r="300" spans="1:17">
      <c r="A300" s="211"/>
      <c r="B300" s="211"/>
      <c r="C300" s="211"/>
      <c r="D300" s="211"/>
      <c r="E300" s="211"/>
      <c r="F300" s="486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</row>
    <row r="301" spans="1:17">
      <c r="A301" s="211"/>
      <c r="B301" s="211"/>
      <c r="C301" s="211"/>
      <c r="D301" s="211"/>
      <c r="E301" s="211"/>
      <c r="F301" s="486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</row>
    <row r="302" spans="1:17">
      <c r="A302" s="211"/>
      <c r="B302" s="211"/>
      <c r="C302" s="211"/>
      <c r="D302" s="211"/>
      <c r="E302" s="211"/>
      <c r="F302" s="486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</row>
    <row r="303" spans="1:17">
      <c r="A303" s="211"/>
      <c r="B303" s="211"/>
      <c r="C303" s="211"/>
      <c r="D303" s="211"/>
      <c r="E303" s="211"/>
      <c r="F303" s="486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</row>
    <row r="304" spans="1:17">
      <c r="A304" s="211"/>
      <c r="B304" s="211"/>
      <c r="C304" s="211"/>
      <c r="D304" s="211"/>
      <c r="E304" s="211"/>
      <c r="F304" s="486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</row>
    <row r="305" spans="1:17">
      <c r="A305" s="211"/>
      <c r="B305" s="211"/>
      <c r="C305" s="211"/>
      <c r="D305" s="211"/>
      <c r="E305" s="211"/>
      <c r="F305" s="486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</row>
    <row r="306" spans="1:17">
      <c r="A306" s="211"/>
      <c r="B306" s="211"/>
      <c r="C306" s="211"/>
      <c r="D306" s="211"/>
      <c r="E306" s="211"/>
      <c r="F306" s="486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</row>
    <row r="307" spans="1:17">
      <c r="A307" s="211"/>
      <c r="B307" s="211"/>
      <c r="C307" s="211"/>
      <c r="D307" s="211"/>
      <c r="E307" s="211"/>
      <c r="F307" s="486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</row>
    <row r="308" spans="1:17">
      <c r="A308" s="211"/>
      <c r="B308" s="211"/>
      <c r="C308" s="211"/>
      <c r="D308" s="211"/>
      <c r="E308" s="211"/>
      <c r="F308" s="486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</row>
    <row r="309" spans="1:17">
      <c r="A309" s="211"/>
      <c r="B309" s="211"/>
      <c r="C309" s="211"/>
      <c r="D309" s="211"/>
      <c r="E309" s="211"/>
      <c r="F309" s="486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</row>
    <row r="310" spans="1:17">
      <c r="A310" s="211"/>
      <c r="B310" s="211"/>
      <c r="C310" s="211"/>
      <c r="D310" s="211"/>
      <c r="E310" s="211"/>
      <c r="F310" s="486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</row>
    <row r="311" spans="1:17">
      <c r="A311" s="211"/>
      <c r="B311" s="211"/>
      <c r="C311" s="211"/>
      <c r="D311" s="211"/>
      <c r="E311" s="211"/>
      <c r="F311" s="486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</row>
    <row r="312" spans="1:17">
      <c r="A312" s="211"/>
      <c r="B312" s="211"/>
      <c r="C312" s="211"/>
      <c r="D312" s="211"/>
      <c r="E312" s="211"/>
      <c r="F312" s="486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</row>
    <row r="313" spans="1:17">
      <c r="A313" s="211"/>
      <c r="B313" s="211"/>
      <c r="C313" s="211"/>
      <c r="D313" s="211"/>
      <c r="E313" s="211"/>
      <c r="F313" s="486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</row>
    <row r="314" spans="1:17">
      <c r="A314" s="211"/>
      <c r="B314" s="211"/>
      <c r="C314" s="211"/>
      <c r="D314" s="211"/>
      <c r="E314" s="211"/>
      <c r="F314" s="486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</row>
    <row r="315" spans="1:17">
      <c r="A315" s="211"/>
      <c r="B315" s="211"/>
      <c r="C315" s="211"/>
      <c r="D315" s="211"/>
      <c r="E315" s="211"/>
      <c r="F315" s="486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</row>
    <row r="316" spans="1:17">
      <c r="A316" s="211"/>
      <c r="B316" s="211"/>
      <c r="C316" s="211"/>
      <c r="D316" s="211"/>
      <c r="E316" s="211"/>
      <c r="F316" s="486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</row>
    <row r="317" spans="1:17">
      <c r="A317" s="211"/>
      <c r="B317" s="211"/>
      <c r="C317" s="211"/>
      <c r="D317" s="211"/>
      <c r="E317" s="211"/>
      <c r="F317" s="486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</row>
    <row r="318" spans="1:17">
      <c r="A318" s="211"/>
      <c r="B318" s="211"/>
      <c r="C318" s="211"/>
      <c r="D318" s="211"/>
      <c r="E318" s="211"/>
      <c r="F318" s="486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</row>
    <row r="319" spans="1:17">
      <c r="A319" s="211"/>
      <c r="B319" s="211"/>
      <c r="C319" s="211"/>
      <c r="D319" s="211"/>
      <c r="E319" s="211"/>
      <c r="F319" s="486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</row>
    <row r="320" spans="1:17">
      <c r="A320" s="211"/>
      <c r="B320" s="211"/>
      <c r="C320" s="211"/>
      <c r="D320" s="211"/>
      <c r="E320" s="211"/>
      <c r="F320" s="486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</row>
    <row r="321" spans="1:17">
      <c r="A321" s="211"/>
      <c r="B321" s="211"/>
      <c r="C321" s="211"/>
      <c r="D321" s="211"/>
      <c r="E321" s="211"/>
      <c r="F321" s="486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</row>
    <row r="322" spans="1:17">
      <c r="A322" s="211"/>
      <c r="B322" s="211"/>
      <c r="C322" s="211"/>
      <c r="D322" s="211"/>
      <c r="E322" s="211"/>
      <c r="F322" s="486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</row>
    <row r="323" spans="1:17">
      <c r="A323" s="211"/>
      <c r="B323" s="211"/>
      <c r="C323" s="211"/>
      <c r="D323" s="211"/>
      <c r="E323" s="211"/>
      <c r="F323" s="486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</row>
    <row r="324" spans="1:17">
      <c r="A324" s="211"/>
      <c r="B324" s="211"/>
      <c r="C324" s="211"/>
      <c r="D324" s="211"/>
      <c r="E324" s="211"/>
      <c r="F324" s="486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</row>
    <row r="325" spans="1:17">
      <c r="A325" s="211"/>
      <c r="B325" s="211"/>
      <c r="C325" s="211"/>
      <c r="D325" s="211"/>
      <c r="E325" s="211"/>
      <c r="F325" s="486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</row>
    <row r="326" spans="1:17">
      <c r="A326" s="211"/>
      <c r="B326" s="211"/>
      <c r="C326" s="211"/>
      <c r="D326" s="211"/>
      <c r="E326" s="211"/>
      <c r="F326" s="486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</row>
    <row r="327" spans="1:17">
      <c r="A327" s="211"/>
      <c r="B327" s="211"/>
      <c r="C327" s="211"/>
      <c r="D327" s="211"/>
      <c r="E327" s="211"/>
      <c r="F327" s="486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</row>
    <row r="328" spans="1:17">
      <c r="A328" s="211"/>
      <c r="B328" s="211"/>
      <c r="C328" s="211"/>
      <c r="D328" s="211"/>
      <c r="E328" s="211"/>
      <c r="F328" s="486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</row>
    <row r="329" spans="1:17">
      <c r="A329" s="211"/>
      <c r="B329" s="211"/>
      <c r="C329" s="211"/>
      <c r="D329" s="211"/>
      <c r="E329" s="211"/>
      <c r="F329" s="486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</row>
    <row r="330" spans="1:17">
      <c r="A330" s="211"/>
      <c r="B330" s="211"/>
      <c r="C330" s="211"/>
      <c r="D330" s="211"/>
      <c r="E330" s="211"/>
      <c r="F330" s="486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</row>
    <row r="331" spans="1:17">
      <c r="A331" s="211"/>
      <c r="B331" s="211"/>
      <c r="C331" s="211"/>
      <c r="D331" s="211"/>
      <c r="E331" s="211"/>
      <c r="F331" s="486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</row>
    <row r="332" spans="1:17">
      <c r="A332" s="211"/>
      <c r="B332" s="211"/>
      <c r="C332" s="211"/>
      <c r="D332" s="211"/>
      <c r="E332" s="211"/>
      <c r="F332" s="486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</row>
    <row r="333" spans="1:17">
      <c r="A333" s="211"/>
      <c r="B333" s="211"/>
      <c r="C333" s="211"/>
      <c r="D333" s="211"/>
      <c r="E333" s="211"/>
      <c r="F333" s="486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</row>
    <row r="334" spans="1:17">
      <c r="A334" s="211"/>
      <c r="B334" s="211"/>
      <c r="C334" s="211"/>
      <c r="D334" s="211"/>
      <c r="E334" s="211"/>
      <c r="F334" s="486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</row>
    <row r="335" spans="1:17">
      <c r="A335" s="211"/>
      <c r="B335" s="211"/>
      <c r="C335" s="211"/>
      <c r="D335" s="211"/>
      <c r="E335" s="211"/>
      <c r="F335" s="486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</row>
    <row r="336" spans="1:17">
      <c r="A336" s="211"/>
      <c r="B336" s="211"/>
      <c r="C336" s="211"/>
      <c r="D336" s="211"/>
      <c r="E336" s="211"/>
      <c r="F336" s="486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</row>
    <row r="337" spans="1:17">
      <c r="A337" s="211"/>
      <c r="B337" s="211"/>
      <c r="C337" s="211"/>
      <c r="D337" s="211"/>
      <c r="E337" s="211"/>
      <c r="F337" s="486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</row>
    <row r="338" spans="1:17">
      <c r="A338" s="211"/>
      <c r="B338" s="211"/>
      <c r="C338" s="211"/>
      <c r="D338" s="211"/>
      <c r="E338" s="211"/>
      <c r="F338" s="486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</row>
    <row r="339" spans="1:17">
      <c r="A339" s="211"/>
      <c r="B339" s="211"/>
      <c r="C339" s="211"/>
      <c r="D339" s="211"/>
      <c r="E339" s="211"/>
      <c r="F339" s="486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</row>
    <row r="340" spans="1:17">
      <c r="A340" s="211"/>
      <c r="B340" s="211"/>
      <c r="C340" s="211"/>
      <c r="D340" s="211"/>
      <c r="E340" s="211"/>
      <c r="F340" s="486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</row>
    <row r="341" spans="1:17">
      <c r="A341" s="211"/>
      <c r="B341" s="211"/>
      <c r="C341" s="211"/>
      <c r="D341" s="211"/>
      <c r="E341" s="211"/>
      <c r="F341" s="486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</row>
    <row r="342" spans="1:17">
      <c r="A342" s="211"/>
      <c r="B342" s="211"/>
      <c r="C342" s="211"/>
      <c r="D342" s="211"/>
      <c r="E342" s="211"/>
      <c r="F342" s="486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</row>
    <row r="343" spans="1:17">
      <c r="A343" s="211"/>
      <c r="B343" s="211"/>
      <c r="C343" s="211"/>
      <c r="D343" s="211"/>
      <c r="E343" s="211"/>
      <c r="F343" s="486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</row>
    <row r="344" spans="1:17">
      <c r="A344" s="211"/>
      <c r="B344" s="211"/>
      <c r="C344" s="211"/>
      <c r="D344" s="211"/>
      <c r="E344" s="211"/>
      <c r="F344" s="486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</row>
    <row r="345" spans="1:17">
      <c r="A345" s="211"/>
      <c r="B345" s="211"/>
      <c r="C345" s="211"/>
      <c r="D345" s="211"/>
      <c r="E345" s="211"/>
      <c r="F345" s="486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</row>
    <row r="346" spans="1:17">
      <c r="A346" s="211"/>
      <c r="B346" s="211"/>
      <c r="C346" s="211"/>
      <c r="D346" s="211"/>
      <c r="E346" s="211"/>
      <c r="F346" s="486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</row>
    <row r="347" spans="1:17">
      <c r="A347" s="211"/>
      <c r="B347" s="211"/>
      <c r="C347" s="211"/>
      <c r="D347" s="211"/>
      <c r="E347" s="211"/>
      <c r="F347" s="486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</row>
    <row r="348" spans="1:17">
      <c r="A348" s="211"/>
      <c r="B348" s="211"/>
      <c r="C348" s="211"/>
      <c r="D348" s="211"/>
      <c r="E348" s="211"/>
      <c r="F348" s="486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</row>
    <row r="349" spans="1:17">
      <c r="A349" s="211"/>
      <c r="B349" s="211"/>
      <c r="C349" s="211"/>
      <c r="D349" s="211"/>
      <c r="E349" s="211"/>
      <c r="F349" s="486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</row>
    <row r="350" spans="1:17">
      <c r="A350" s="211"/>
      <c r="B350" s="211"/>
      <c r="C350" s="211"/>
      <c r="D350" s="211"/>
      <c r="E350" s="211"/>
      <c r="F350" s="486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</row>
    <row r="351" spans="1:17">
      <c r="A351" s="211"/>
      <c r="B351" s="211"/>
      <c r="C351" s="211"/>
      <c r="D351" s="211"/>
      <c r="E351" s="211"/>
      <c r="F351" s="486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</row>
    <row r="352" spans="1:17">
      <c r="A352" s="211"/>
      <c r="B352" s="211"/>
      <c r="C352" s="211"/>
      <c r="D352" s="211"/>
      <c r="E352" s="211"/>
      <c r="F352" s="486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</row>
    <row r="353" spans="1:17">
      <c r="A353" s="211"/>
      <c r="B353" s="211"/>
      <c r="C353" s="211"/>
      <c r="D353" s="211"/>
      <c r="E353" s="211"/>
      <c r="F353" s="486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</row>
    <row r="354" spans="1:17">
      <c r="A354" s="211"/>
      <c r="B354" s="211"/>
      <c r="C354" s="211"/>
      <c r="D354" s="211"/>
      <c r="E354" s="211"/>
      <c r="F354" s="486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</row>
    <row r="355" spans="1:17">
      <c r="A355" s="211"/>
      <c r="B355" s="211"/>
      <c r="C355" s="211"/>
      <c r="D355" s="211"/>
      <c r="E355" s="211"/>
      <c r="F355" s="486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</row>
    <row r="356" spans="1:17">
      <c r="A356" s="211"/>
      <c r="B356" s="211"/>
      <c r="C356" s="211"/>
      <c r="D356" s="211"/>
      <c r="E356" s="211"/>
      <c r="F356" s="486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</row>
    <row r="357" spans="1:17">
      <c r="A357" s="211"/>
      <c r="B357" s="211"/>
      <c r="C357" s="211"/>
      <c r="D357" s="211"/>
      <c r="E357" s="211"/>
      <c r="F357" s="486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</row>
    <row r="358" spans="1:17">
      <c r="A358" s="211"/>
      <c r="B358" s="211"/>
      <c r="C358" s="211"/>
      <c r="D358" s="211"/>
      <c r="E358" s="211"/>
      <c r="F358" s="486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</row>
    <row r="359" spans="1:17">
      <c r="A359" s="211"/>
      <c r="B359" s="211"/>
      <c r="C359" s="211"/>
      <c r="D359" s="211"/>
      <c r="E359" s="211"/>
      <c r="F359" s="486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</row>
    <row r="360" spans="1:17">
      <c r="A360" s="211"/>
      <c r="B360" s="211"/>
      <c r="C360" s="211"/>
      <c r="D360" s="211"/>
      <c r="E360" s="211"/>
      <c r="F360" s="486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</row>
    <row r="361" spans="1:17">
      <c r="A361" s="211"/>
      <c r="B361" s="211"/>
      <c r="C361" s="211"/>
      <c r="D361" s="211"/>
      <c r="E361" s="211"/>
      <c r="F361" s="486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</row>
  </sheetData>
  <mergeCells count="14">
    <mergeCell ref="H31:I31"/>
    <mergeCell ref="H22:I22"/>
    <mergeCell ref="H19:I19"/>
    <mergeCell ref="A7:C7"/>
    <mergeCell ref="D11:F11"/>
    <mergeCell ref="B8:G8"/>
    <mergeCell ref="J5:J6"/>
    <mergeCell ref="A5:C6"/>
    <mergeCell ref="D5:D6"/>
    <mergeCell ref="E5:E6"/>
    <mergeCell ref="F5:F6"/>
    <mergeCell ref="G5:G6"/>
    <mergeCell ref="I5:I6"/>
    <mergeCell ref="H5:H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7" orientation="landscape" useFirstPageNumber="1" r:id="rId1"/>
  <headerFooter>
    <oddFooter>&amp;L&amp;P&amp;R&amp;G</oddFooter>
  </headerFooter>
  <colBreaks count="1" manualBreakCount="1">
    <brk id="17" min="1" max="74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11">
    <tabColor rgb="FF92D050"/>
  </sheetPr>
  <dimension ref="A1:CQ35"/>
  <sheetViews>
    <sheetView view="pageBreakPreview" zoomScale="80" zoomScaleNormal="85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M19" sqref="M19"/>
    </sheetView>
  </sheetViews>
  <sheetFormatPr defaultColWidth="8.85546875" defaultRowHeight="15"/>
  <cols>
    <col min="1" max="1" width="4.7109375" style="19" customWidth="1"/>
    <col min="2" max="5" width="11.7109375" style="19" customWidth="1"/>
    <col min="6" max="6" width="11.7109375" style="2" customWidth="1"/>
    <col min="7" max="7" width="20.7109375" style="131" customWidth="1"/>
    <col min="8" max="8" width="20.7109375" style="256" customWidth="1"/>
    <col min="9" max="9" width="20.7109375" style="131" customWidth="1"/>
    <col min="10" max="12" width="20.7109375" style="19" customWidth="1"/>
    <col min="13" max="13" width="20.85546875" style="19" customWidth="1"/>
    <col min="14" max="14" width="21.140625" style="19" customWidth="1"/>
    <col min="15" max="16384" width="8.85546875" style="19"/>
  </cols>
  <sheetData>
    <row r="1" spans="1:95" s="274" customFormat="1" ht="18.75">
      <c r="B1" s="1026" t="s">
        <v>307</v>
      </c>
      <c r="F1" s="2"/>
      <c r="G1" s="302" t="str">
        <f>IFERROR(MATCH(J$5,#REF!,0)-2,"")</f>
        <v/>
      </c>
      <c r="H1" s="302" t="str">
        <f>IFERROR(MATCH(K$5,#REF!,0)-2,"")</f>
        <v/>
      </c>
      <c r="I1" s="302" t="str">
        <f>IFERROR(MATCH(#REF!,#REF!,0)-2,"")</f>
        <v/>
      </c>
      <c r="J1" s="302" t="str">
        <f>IFERROR(MATCH(#REF!,#REF!,0)-2,"")</f>
        <v/>
      </c>
      <c r="K1" s="302" t="str">
        <f>IFERROR(MATCH(#REF!,#REF!,0)-2,"")</f>
        <v/>
      </c>
    </row>
    <row r="2" spans="1:95" ht="18" customHeight="1">
      <c r="A2" s="5"/>
      <c r="B2" s="21"/>
      <c r="C2" s="21"/>
      <c r="D2" s="21"/>
      <c r="E2" s="21"/>
      <c r="F2" s="6"/>
      <c r="G2" s="132"/>
      <c r="H2" s="257"/>
      <c r="I2" s="132"/>
      <c r="J2" s="21"/>
      <c r="K2" s="2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</row>
    <row r="3" spans="1:95" ht="79.900000000000006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</row>
    <row r="4" spans="1:95">
      <c r="A4" s="121"/>
      <c r="B4" s="17" t="s">
        <v>54</v>
      </c>
      <c r="C4" s="17"/>
      <c r="D4" s="121"/>
      <c r="E4" s="121"/>
      <c r="F4" s="6"/>
      <c r="G4" s="132"/>
      <c r="H4" s="257"/>
      <c r="I4" s="132"/>
      <c r="J4" s="121"/>
      <c r="K4" s="12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</row>
    <row r="5" spans="1:95" ht="30" customHeight="1">
      <c r="A5" s="3273" t="s">
        <v>1</v>
      </c>
      <c r="B5" s="3274"/>
      <c r="C5" s="3275"/>
      <c r="D5" s="119" t="s">
        <v>39</v>
      </c>
      <c r="E5" s="119" t="s">
        <v>44</v>
      </c>
      <c r="F5" s="119" t="s">
        <v>34</v>
      </c>
      <c r="G5" s="46" t="s">
        <v>685</v>
      </c>
      <c r="H5" s="46" t="s">
        <v>686</v>
      </c>
      <c r="I5" s="46" t="s">
        <v>687</v>
      </c>
      <c r="J5" s="2285" t="s">
        <v>688</v>
      </c>
      <c r="K5" s="46" t="s">
        <v>689</v>
      </c>
      <c r="L5" s="1190" t="s">
        <v>690</v>
      </c>
      <c r="M5" s="1190" t="s">
        <v>691</v>
      </c>
      <c r="N5" s="1078" t="s">
        <v>692</v>
      </c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</row>
    <row r="6" spans="1:95" s="21" customFormat="1" ht="30" customHeight="1">
      <c r="A6" s="2884" t="s">
        <v>1952</v>
      </c>
      <c r="B6" s="2884"/>
      <c r="C6" s="2884"/>
      <c r="D6" s="2028" t="s">
        <v>1953</v>
      </c>
      <c r="E6" s="2028" t="s">
        <v>40</v>
      </c>
      <c r="F6" s="2027" t="s">
        <v>0</v>
      </c>
      <c r="G6" s="2047">
        <f>'Полотна база'!AU9*(1+скидки_наценки!$B$30)*скидки_наценки!$D$13*скидки_наценки!$F$13/скидки_наценки!$B$4</f>
        <v>46450</v>
      </c>
      <c r="H6" s="2047">
        <f>'Полотна база'!AU9*(1+скидки_наценки!$B$30)*скидки_наценки!$D$13*скидки_наценки!$F$13/скидки_наценки!$B$4</f>
        <v>46450</v>
      </c>
      <c r="I6" s="2047">
        <f>'Полотна база'!AU9*(1+скидки_наценки!$B$30)*скидки_наценки!$D$13*скидки_наценки!$F$13/скидки_наценки!$B$4</f>
        <v>46450</v>
      </c>
      <c r="J6" s="2047">
        <f>'Полотна база'!AV9*(1+скидки_наценки!$B$30)*скидки_наценки!$D$13*скидки_наценки!$F$13/скидки_наценки!$B$4</f>
        <v>51950</v>
      </c>
      <c r="K6" s="2047">
        <f>J6</f>
        <v>51950</v>
      </c>
      <c r="L6" s="2061">
        <f>M6</f>
        <v>57450</v>
      </c>
      <c r="M6" s="2047">
        <f>'Полотна база'!AX9*(1+скидки_наценки!$B$30)*скидки_наценки!$D$13*скидки_наценки!$F$13/скидки_наценки!$B$4</f>
        <v>57450</v>
      </c>
      <c r="N6" s="2061">
        <f>M6</f>
        <v>57450</v>
      </c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</row>
    <row r="7" spans="1:95" ht="15" customHeight="1">
      <c r="F7" s="19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</row>
    <row r="8" spans="1:95" s="289" customFormat="1" ht="18" customHeight="1">
      <c r="A8" s="292"/>
      <c r="C8" s="20"/>
      <c r="D8" s="292"/>
      <c r="E8" s="292"/>
      <c r="F8" s="2"/>
      <c r="G8" s="292"/>
      <c r="H8" s="292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</row>
    <row r="9" spans="1:95">
      <c r="A9" s="21"/>
      <c r="B9" s="17" t="s">
        <v>19</v>
      </c>
      <c r="C9" s="17"/>
      <c r="D9" s="21"/>
      <c r="E9" s="21"/>
      <c r="F9" s="6"/>
      <c r="G9" s="132"/>
      <c r="H9" s="257"/>
      <c r="I9" s="3"/>
      <c r="J9" s="3"/>
      <c r="K9" s="3"/>
      <c r="L9" s="47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</row>
    <row r="10" spans="1:95" s="372" customFormat="1" ht="15" customHeight="1">
      <c r="A10" s="3076" t="s">
        <v>2</v>
      </c>
      <c r="B10" s="3076"/>
      <c r="C10" s="3076"/>
      <c r="D10" s="3076"/>
      <c r="E10" s="3076"/>
      <c r="F10" s="3076"/>
      <c r="G10" s="691" t="s">
        <v>685</v>
      </c>
      <c r="H10" s="691" t="s">
        <v>686</v>
      </c>
      <c r="I10" s="692" t="s">
        <v>687</v>
      </c>
      <c r="J10" s="692" t="s">
        <v>688</v>
      </c>
      <c r="K10" s="693" t="s">
        <v>689</v>
      </c>
      <c r="L10" s="1092" t="s">
        <v>690</v>
      </c>
      <c r="M10" s="1092" t="s">
        <v>691</v>
      </c>
      <c r="N10" s="1093" t="s">
        <v>692</v>
      </c>
      <c r="O10" s="689"/>
      <c r="P10" s="689"/>
      <c r="Q10" s="689"/>
      <c r="R10" s="689"/>
      <c r="S10" s="689"/>
      <c r="T10" s="689"/>
      <c r="U10" s="689"/>
      <c r="V10" s="689"/>
      <c r="W10" s="689"/>
      <c r="X10" s="689"/>
      <c r="Y10" s="689"/>
      <c r="Z10" s="689"/>
      <c r="AA10" s="689"/>
      <c r="AB10" s="689"/>
      <c r="AC10" s="689"/>
      <c r="AD10" s="689"/>
      <c r="AE10" s="689"/>
      <c r="AF10" s="689"/>
      <c r="AG10" s="689"/>
      <c r="AH10" s="689"/>
      <c r="AI10" s="689"/>
      <c r="AJ10" s="689"/>
      <c r="AK10" s="689"/>
      <c r="AL10" s="689"/>
      <c r="AM10" s="689"/>
    </row>
    <row r="11" spans="1:95" s="471" customFormat="1" ht="15" hidden="1" customHeight="1">
      <c r="A11" s="3276" t="s">
        <v>887</v>
      </c>
      <c r="B11" s="3276"/>
      <c r="C11" s="3276"/>
      <c r="D11" s="3276"/>
      <c r="E11" s="3276"/>
      <c r="F11" s="3276"/>
      <c r="G11" s="696" t="e">
        <f>CEILING(#REF!*(1+скидки_наценки!$B$32)*скидки_наценки!$D$13*скидки_наценки!$F$13/скидки_наценки!$B$4, 50)</f>
        <v>#REF!</v>
      </c>
      <c r="H11" s="696" t="e">
        <f>CEILING(#REF!*(1+скидки_наценки!$B$32)*скидки_наценки!$D$13*скидки_наценки!$F$13/скидки_наценки!$B$4, 50)</f>
        <v>#REF!</v>
      </c>
      <c r="I11" s="696" t="e">
        <f>CEILING(#REF!*(1+скидки_наценки!$B$32)*скидки_наценки!$D$13*скидки_наценки!$F$13/скидки_наценки!$B$4, 50)</f>
        <v>#REF!</v>
      </c>
      <c r="J11" s="696" t="e">
        <f>CEILING(#REF!*(1+скидки_наценки!$B$32)*скидки_наценки!$D$13*скидки_наценки!$F$13/скидки_наценки!$B$4, 50)</f>
        <v>#REF!</v>
      </c>
      <c r="K11" s="696" t="e">
        <f>CEILING(#REF!*(1+скидки_наценки!$B$32)*скидки_наценки!$D$13*скидки_наценки!$F$13/скидки_наценки!$B$4, 50)</f>
        <v>#REF!</v>
      </c>
      <c r="L11" s="696" t="e">
        <f>CEILING(#REF!*(1+скидки_наценки!$B$32)*скидки_наценки!$D$13*скидки_наценки!$F$13/скидки_наценки!$B$4, 50)</f>
        <v>#REF!</v>
      </c>
      <c r="M11" s="696" t="e">
        <f>CEILING(#REF!*(1+скидки_наценки!$B$32)*скидки_наценки!$D$13*скидки_наценки!$F$13/скидки_наценки!$B$4, 50)</f>
        <v>#REF!</v>
      </c>
      <c r="N11" s="696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</row>
    <row r="12" spans="1:95" s="471" customFormat="1" ht="15" customHeight="1">
      <c r="A12" s="3287" t="s">
        <v>1169</v>
      </c>
      <c r="B12" s="3210"/>
      <c r="C12" s="3288"/>
      <c r="D12" s="3278" t="s">
        <v>1564</v>
      </c>
      <c r="E12" s="3279"/>
      <c r="F12" s="3280"/>
      <c r="G12" s="2526">
        <v>0.01</v>
      </c>
      <c r="H12" s="2526">
        <v>0.01</v>
      </c>
      <c r="I12" s="2526">
        <v>0.01</v>
      </c>
      <c r="J12" s="2526">
        <v>0.01</v>
      </c>
      <c r="K12" s="2526">
        <v>0.01</v>
      </c>
      <c r="L12" s="2526">
        <v>0.01</v>
      </c>
      <c r="M12" s="2526">
        <v>0.01</v>
      </c>
      <c r="N12" s="1070" t="s">
        <v>3</v>
      </c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</row>
    <row r="13" spans="1:95" s="471" customFormat="1" ht="15" customHeight="1">
      <c r="A13" s="3212"/>
      <c r="B13" s="3213"/>
      <c r="C13" s="3214"/>
      <c r="D13" s="3221" t="s">
        <v>868</v>
      </c>
      <c r="E13" s="3222"/>
      <c r="F13" s="3223"/>
      <c r="G13" s="2529">
        <v>0.02</v>
      </c>
      <c r="H13" s="2529">
        <v>0.02</v>
      </c>
      <c r="I13" s="2529">
        <v>0.02</v>
      </c>
      <c r="J13" s="2529">
        <v>0.02</v>
      </c>
      <c r="K13" s="2529">
        <v>0.02</v>
      </c>
      <c r="L13" s="2529">
        <v>0.02</v>
      </c>
      <c r="M13" s="2529">
        <v>0.02</v>
      </c>
      <c r="N13" s="277" t="s">
        <v>3</v>
      </c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</row>
    <row r="14" spans="1:95" s="471" customFormat="1" ht="15" customHeight="1">
      <c r="A14" s="3215"/>
      <c r="B14" s="3216"/>
      <c r="C14" s="3217"/>
      <c r="D14" s="3224" t="s">
        <v>870</v>
      </c>
      <c r="E14" s="3225"/>
      <c r="F14" s="3226"/>
      <c r="G14" s="2530">
        <v>0.02</v>
      </c>
      <c r="H14" s="2530">
        <v>0.02</v>
      </c>
      <c r="I14" s="2530">
        <v>0.02</v>
      </c>
      <c r="J14" s="2530">
        <v>0.02</v>
      </c>
      <c r="K14" s="2530">
        <v>0.02</v>
      </c>
      <c r="L14" s="2530">
        <v>0.02</v>
      </c>
      <c r="M14" s="2530">
        <v>0.02</v>
      </c>
      <c r="N14" s="1213" t="s">
        <v>3</v>
      </c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</row>
    <row r="15" spans="1:95" s="64" customFormat="1" ht="15" customHeight="1">
      <c r="A15" s="3277" t="s">
        <v>874</v>
      </c>
      <c r="B15" s="3025"/>
      <c r="C15" s="3003"/>
      <c r="D15" s="3281" t="s">
        <v>868</v>
      </c>
      <c r="E15" s="3282"/>
      <c r="F15" s="3283"/>
      <c r="G15" s="1345">
        <f>Стекла_база!$H$15*(1+скидки_наценки!$B$32)*скидки_наценки!$D$13*скидки_наценки!$F$13/скидки_наценки!$B$4</f>
        <v>10000</v>
      </c>
      <c r="H15" s="1345">
        <f>Стекла_база!$H$16*(1+скидки_наценки!$B$32)*скидки_наценки!$D$13*скидки_наценки!$F$13/скидки_наценки!$B$4</f>
        <v>6750</v>
      </c>
      <c r="I15" s="1345">
        <f>Стекла_база!$H$16*(1+скидки_наценки!$B$32)*скидки_наценки!$D$13*скидки_наценки!$F$13/скидки_наценки!$B$4</f>
        <v>6750</v>
      </c>
      <c r="J15" s="1345">
        <f>Стекла_база!$H$16*(1+скидки_наценки!$B$32)*скидки_наценки!$D$13*скидки_наценки!$F$13/скидки_наценки!$B$4</f>
        <v>6750</v>
      </c>
      <c r="K15" s="1345">
        <f>Стекла_база!$H$16*(1+скидки_наценки!$B$32)*скидки_наценки!$D$13*скидки_наценки!$F$13/скидки_наценки!$B$4</f>
        <v>6750</v>
      </c>
      <c r="L15" s="1344" t="s">
        <v>3</v>
      </c>
      <c r="M15" s="1344" t="s">
        <v>3</v>
      </c>
      <c r="N15" s="1344" t="s">
        <v>3</v>
      </c>
      <c r="O15" s="360"/>
      <c r="P15" s="360"/>
      <c r="Q15" s="360"/>
      <c r="R15" s="360"/>
      <c r="S15" s="360"/>
      <c r="T15" s="360"/>
      <c r="U15" s="360"/>
      <c r="V15" s="360"/>
      <c r="W15" s="360"/>
      <c r="X15" s="360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  <c r="AL15" s="360"/>
      <c r="AM15" s="360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  <c r="CP15" s="251"/>
      <c r="CQ15" s="251"/>
    </row>
    <row r="16" spans="1:95" s="64" customFormat="1" ht="15" customHeight="1">
      <c r="A16" s="3006"/>
      <c r="B16" s="3026"/>
      <c r="C16" s="3007"/>
      <c r="D16" s="3284" t="s">
        <v>1389</v>
      </c>
      <c r="E16" s="3285"/>
      <c r="F16" s="3286"/>
      <c r="G16" s="1346">
        <f>Стекла_база!$I$15*(1+скидки_наценки!$B$32)*скидки_наценки!$D$13*скидки_наценки!$F$13/скидки_наценки!$B$4</f>
        <v>13000</v>
      </c>
      <c r="H16" s="1346">
        <f>Стекла_база!$I$16*(1+скидки_наценки!$B$32)*скидки_наценки!$D$13*скидки_наценки!$F$13/скидки_наценки!$B$4</f>
        <v>8800</v>
      </c>
      <c r="I16" s="1346">
        <f>Стекла_база!$I$16*(1+скидки_наценки!$B$32)*скидки_наценки!$D$13*скидки_наценки!$F$13/скидки_наценки!$B$4</f>
        <v>8800</v>
      </c>
      <c r="J16" s="1346">
        <f>Стекла_база!$I$16*(1+скидки_наценки!$B$32)*скидки_наценки!$D$13*скидки_наценки!$F$13/скидки_наценки!$B$4</f>
        <v>8800</v>
      </c>
      <c r="K16" s="1346">
        <f>Стекла_база!$I$16*(1+скидки_наценки!$B$32)*скидки_наценки!$D$13*скидки_наценки!$F$13/скидки_наценки!$B$4</f>
        <v>8800</v>
      </c>
      <c r="L16" s="1090" t="s">
        <v>3</v>
      </c>
      <c r="M16" s="1090" t="s">
        <v>3</v>
      </c>
      <c r="N16" s="1090" t="s">
        <v>3</v>
      </c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  <c r="AA16" s="360"/>
      <c r="AB16" s="360"/>
      <c r="AC16" s="360"/>
      <c r="AD16" s="360"/>
      <c r="AE16" s="360"/>
      <c r="AF16" s="360"/>
      <c r="AG16" s="360"/>
      <c r="AH16" s="360"/>
      <c r="AI16" s="360"/>
      <c r="AJ16" s="360"/>
      <c r="AK16" s="360"/>
      <c r="AL16" s="360"/>
      <c r="AM16" s="360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</row>
    <row r="17" spans="1:38" s="91" customFormat="1" ht="18" customHeight="1">
      <c r="A17" s="2"/>
      <c r="B17" s="2"/>
      <c r="C17" s="2"/>
      <c r="F17" s="92"/>
      <c r="G17" s="92"/>
      <c r="H17" s="92"/>
      <c r="I17" s="92"/>
      <c r="J17" s="92"/>
      <c r="K17" s="92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</row>
    <row r="18" spans="1:38" ht="18" customHeight="1">
      <c r="A18" s="709"/>
      <c r="B18" s="709"/>
      <c r="C18" s="709"/>
      <c r="D18" s="709"/>
      <c r="E18" s="709"/>
      <c r="F18" s="709"/>
    </row>
    <row r="19" spans="1:38" ht="90" customHeight="1"/>
    <row r="20" spans="1:38">
      <c r="A20" s="21"/>
      <c r="B20" s="17" t="s">
        <v>24</v>
      </c>
      <c r="C20" s="21"/>
      <c r="D20" s="21"/>
      <c r="E20" s="21"/>
      <c r="F20" s="6"/>
      <c r="G20" s="132"/>
      <c r="H20" s="257"/>
      <c r="I20" s="132"/>
      <c r="J20" s="3"/>
      <c r="K20" s="3"/>
    </row>
    <row r="21" spans="1:38" ht="18" customHeight="1">
      <c r="A21" s="3011" t="s">
        <v>36</v>
      </c>
      <c r="B21" s="3013"/>
      <c r="C21" s="3011" t="s">
        <v>166</v>
      </c>
      <c r="D21" s="3013"/>
      <c r="E21" s="3289" t="s">
        <v>37</v>
      </c>
      <c r="F21" s="3289" t="s">
        <v>35</v>
      </c>
      <c r="G21" s="46" t="s">
        <v>685</v>
      </c>
      <c r="H21" s="46" t="s">
        <v>686</v>
      </c>
      <c r="I21" s="46" t="s">
        <v>687</v>
      </c>
      <c r="J21" s="2285" t="s">
        <v>688</v>
      </c>
      <c r="K21" s="46" t="s">
        <v>689</v>
      </c>
      <c r="L21" s="1190" t="s">
        <v>690</v>
      </c>
      <c r="M21" s="1190" t="s">
        <v>691</v>
      </c>
      <c r="N21" s="1078" t="s">
        <v>692</v>
      </c>
    </row>
    <row r="22" spans="1:38">
      <c r="A22" s="3126"/>
      <c r="B22" s="3127"/>
      <c r="C22" s="3126"/>
      <c r="D22" s="3127"/>
      <c r="E22" s="3290"/>
      <c r="F22" s="3290"/>
      <c r="G22" s="2276" t="s">
        <v>4</v>
      </c>
      <c r="H22" s="2276" t="s">
        <v>4</v>
      </c>
      <c r="I22" s="2276" t="s">
        <v>4</v>
      </c>
      <c r="J22" s="2276" t="s">
        <v>21</v>
      </c>
      <c r="K22" s="2276" t="s">
        <v>21</v>
      </c>
    </row>
    <row r="23" spans="1:38">
      <c r="A23" s="3014"/>
      <c r="B23" s="3016"/>
      <c r="C23" s="3014"/>
      <c r="D23" s="3016"/>
      <c r="E23" s="3291"/>
      <c r="F23" s="3291"/>
      <c r="G23" s="124" t="s">
        <v>4</v>
      </c>
      <c r="H23" s="124" t="s">
        <v>4</v>
      </c>
      <c r="I23" s="124" t="s">
        <v>4</v>
      </c>
      <c r="J23" s="124" t="s">
        <v>177</v>
      </c>
      <c r="K23" s="124" t="s">
        <v>177</v>
      </c>
    </row>
    <row r="24" spans="1:38" ht="15.75">
      <c r="A24" s="3036" t="s">
        <v>30</v>
      </c>
      <c r="B24" s="3037"/>
      <c r="C24" s="3042" t="s">
        <v>1062</v>
      </c>
      <c r="D24" s="3043"/>
      <c r="E24" s="116" t="s">
        <v>170</v>
      </c>
      <c r="F24" s="42" t="s">
        <v>3</v>
      </c>
      <c r="G24" s="42" t="s">
        <v>3</v>
      </c>
      <c r="H24" s="42" t="s">
        <v>3</v>
      </c>
      <c r="I24" s="42" t="s">
        <v>3</v>
      </c>
      <c r="J24" s="728">
        <f>'Classic Rimini '!G24</f>
        <v>2330</v>
      </c>
      <c r="K24" s="728">
        <f>'Classic Rimini '!H24</f>
        <v>1050</v>
      </c>
      <c r="L24" s="42" t="s">
        <v>3</v>
      </c>
      <c r="M24" s="42" t="s">
        <v>3</v>
      </c>
      <c r="N24" s="42" t="s">
        <v>3</v>
      </c>
    </row>
    <row r="25" spans="1:38" ht="24">
      <c r="A25" s="3038"/>
      <c r="B25" s="3039"/>
      <c r="C25" s="2917" t="s">
        <v>164</v>
      </c>
      <c r="D25" s="2918"/>
      <c r="E25" s="2275" t="s">
        <v>171</v>
      </c>
      <c r="F25" s="167" t="s">
        <v>3</v>
      </c>
      <c r="G25" s="167" t="s">
        <v>3</v>
      </c>
      <c r="H25" s="167" t="s">
        <v>3</v>
      </c>
      <c r="I25" s="167" t="s">
        <v>3</v>
      </c>
      <c r="J25" s="1107">
        <f>'Classic Rimini '!G25</f>
        <v>2810</v>
      </c>
      <c r="K25" s="1107">
        <f>'Classic Rimini '!H25</f>
        <v>1365</v>
      </c>
      <c r="L25" s="167" t="s">
        <v>3</v>
      </c>
      <c r="M25" s="167" t="s">
        <v>3</v>
      </c>
      <c r="N25" s="167" t="s">
        <v>3</v>
      </c>
    </row>
    <row r="26" spans="1:38" ht="24">
      <c r="A26" s="3040"/>
      <c r="B26" s="3041"/>
      <c r="C26" s="3006" t="s">
        <v>165</v>
      </c>
      <c r="D26" s="3007"/>
      <c r="E26" s="682" t="s">
        <v>171</v>
      </c>
      <c r="F26" s="2284" t="s">
        <v>3</v>
      </c>
      <c r="G26" s="2284" t="s">
        <v>3</v>
      </c>
      <c r="H26" s="2284" t="s">
        <v>3</v>
      </c>
      <c r="I26" s="2284" t="s">
        <v>3</v>
      </c>
      <c r="J26" s="728">
        <f>'Classic Rimini '!G26</f>
        <v>3370</v>
      </c>
      <c r="K26" s="728">
        <f>'Classic Rimini '!H26</f>
        <v>1735</v>
      </c>
      <c r="L26" s="2284" t="s">
        <v>3</v>
      </c>
      <c r="M26" s="2284" t="s">
        <v>3</v>
      </c>
      <c r="N26" s="2284" t="s">
        <v>3</v>
      </c>
    </row>
    <row r="27" spans="1:38" ht="96" customHeight="1">
      <c r="A27" s="3156" t="s">
        <v>167</v>
      </c>
      <c r="B27" s="3157"/>
      <c r="C27" s="3262" t="s">
        <v>1059</v>
      </c>
      <c r="D27" s="3263"/>
      <c r="E27" s="162" t="s">
        <v>171</v>
      </c>
      <c r="F27" s="125" t="s">
        <v>3</v>
      </c>
      <c r="G27" s="125" t="s">
        <v>3</v>
      </c>
      <c r="H27" s="125" t="s">
        <v>3</v>
      </c>
      <c r="I27" s="125" t="s">
        <v>3</v>
      </c>
      <c r="J27" s="1107">
        <f>'Classic Rimini '!G27</f>
        <v>3020</v>
      </c>
      <c r="K27" s="1107">
        <f>'Classic Rimini '!H27</f>
        <v>1505</v>
      </c>
      <c r="L27" s="125" t="s">
        <v>3</v>
      </c>
      <c r="M27" s="125" t="s">
        <v>3</v>
      </c>
      <c r="N27" s="125" t="s">
        <v>3</v>
      </c>
    </row>
    <row r="28" spans="1:38" ht="36">
      <c r="A28" s="3049" t="s">
        <v>169</v>
      </c>
      <c r="B28" s="3050"/>
      <c r="C28" s="3022" t="s">
        <v>168</v>
      </c>
      <c r="D28" s="3024"/>
      <c r="E28" s="682" t="s">
        <v>171</v>
      </c>
      <c r="F28" s="349" t="s">
        <v>886</v>
      </c>
      <c r="G28" s="310">
        <f>(Стекла_база!G79=Стекла_база!I79)*(1+скидки_наценки!$B$32)*скидки_наценки!$D$13*скидки_наценки!$F$13/скидки_наценки!$B$4</f>
        <v>0</v>
      </c>
      <c r="H28" s="310">
        <f>(Стекла_база!H79=Стекла_база!J79)*(1+скидки_наценки!$B$32)*скидки_наценки!$D$13*скидки_наценки!$F$13/скидки_наценки!$B$4</f>
        <v>0</v>
      </c>
      <c r="I28" s="310">
        <f>(Стекла_база!I79=Стекла_база!K79)*(1+скидки_наценки!$B$32)*скидки_наценки!$D$13*скидки_наценки!$F$13/скидки_наценки!$B$4</f>
        <v>0</v>
      </c>
      <c r="J28" s="728">
        <f>'Classic Rimini '!G28</f>
        <v>2710</v>
      </c>
      <c r="K28" s="728">
        <f>'Classic Rimini '!H28</f>
        <v>1775</v>
      </c>
      <c r="L28" s="310">
        <f>(Стекла_база!L79=Стекла_база!N79)*(1+скидки_наценки!$B$32)*скидки_наценки!$D$13*скидки_наценки!$F$13/скидки_наценки!$B$4</f>
        <v>0</v>
      </c>
      <c r="M28" s="310">
        <f>(Стекла_база!M79=Стекла_база!O79)*(1+скидки_наценки!$B$32)*скидки_наценки!$D$13*скидки_наценки!$F$13/скидки_наценки!$B$4</f>
        <v>0</v>
      </c>
      <c r="N28" s="310">
        <f>(Стекла_база!N79=Стекла_база!P79)*(1+скидки_наценки!$B$32)*скидки_наценки!$D$13*скидки_наценки!$F$13/скидки_наценки!$B$4</f>
        <v>0</v>
      </c>
    </row>
    <row r="29" spans="1:38" hidden="1">
      <c r="A29" s="3264" t="s">
        <v>191</v>
      </c>
      <c r="B29" s="3265"/>
      <c r="C29" s="3270" t="s">
        <v>1063</v>
      </c>
      <c r="D29" s="3265"/>
      <c r="E29" s="3254" t="s">
        <v>170</v>
      </c>
      <c r="F29" s="2286" t="s">
        <v>3</v>
      </c>
      <c r="G29" s="283" t="s">
        <v>163</v>
      </c>
      <c r="H29" s="283" t="s">
        <v>163</v>
      </c>
      <c r="I29" s="283" t="s">
        <v>163</v>
      </c>
      <c r="J29" s="674"/>
      <c r="K29" s="674" t="s">
        <v>163</v>
      </c>
    </row>
    <row r="30" spans="1:38" ht="15.75" hidden="1">
      <c r="A30" s="3266"/>
      <c r="B30" s="3267"/>
      <c r="C30" s="3271"/>
      <c r="D30" s="3272"/>
      <c r="E30" s="3255"/>
      <c r="F30" s="122"/>
      <c r="G30" s="42" t="s">
        <v>3</v>
      </c>
      <c r="H30" s="42" t="s">
        <v>3</v>
      </c>
      <c r="I30" s="42" t="s">
        <v>3</v>
      </c>
      <c r="J30" s="313"/>
      <c r="K30" s="313" t="e">
        <f>CEILING(#REF!*(1+скидки_наценки!$B$32)*скидки_наценки!$D$13*скидки_наценки!$F$13/скидки_наценки!$B$4, 50)</f>
        <v>#REF!</v>
      </c>
      <c r="L30" s="42" t="s">
        <v>3</v>
      </c>
      <c r="M30" s="42" t="s">
        <v>3</v>
      </c>
      <c r="N30" s="42" t="s">
        <v>3</v>
      </c>
    </row>
    <row r="31" spans="1:38" ht="24" hidden="1">
      <c r="A31" s="3266"/>
      <c r="B31" s="3267"/>
      <c r="C31" s="3256" t="s">
        <v>1064</v>
      </c>
      <c r="D31" s="3257"/>
      <c r="E31" s="161" t="s">
        <v>171</v>
      </c>
      <c r="F31" s="160" t="s">
        <v>3</v>
      </c>
      <c r="G31" s="167" t="s">
        <v>3</v>
      </c>
      <c r="H31" s="167" t="s">
        <v>3</v>
      </c>
      <c r="I31" s="167" t="s">
        <v>3</v>
      </c>
      <c r="J31" s="277"/>
      <c r="K31" s="277" t="e">
        <f>CEILING(#REF!*(1+скидки_наценки!$B$32)*скидки_наценки!$D$13*скидки_наценки!$F$13/скидки_наценки!$B$4, 50)</f>
        <v>#REF!</v>
      </c>
      <c r="L31" s="167" t="s">
        <v>3</v>
      </c>
      <c r="M31" s="167" t="s">
        <v>3</v>
      </c>
      <c r="N31" s="167" t="s">
        <v>3</v>
      </c>
    </row>
    <row r="32" spans="1:38" ht="24" hidden="1">
      <c r="A32" s="3268"/>
      <c r="B32" s="3269"/>
      <c r="C32" s="3258" t="s">
        <v>1065</v>
      </c>
      <c r="D32" s="3259"/>
      <c r="E32" s="1242" t="s">
        <v>171</v>
      </c>
      <c r="F32" s="2277" t="s">
        <v>3</v>
      </c>
      <c r="G32" s="2284" t="s">
        <v>3</v>
      </c>
      <c r="H32" s="2284" t="s">
        <v>3</v>
      </c>
      <c r="I32" s="2284" t="s">
        <v>3</v>
      </c>
      <c r="J32" s="313"/>
      <c r="K32" s="313" t="e">
        <f>CEILING(#REF!*(1+скидки_наценки!$B$32)*скидки_наценки!$D$13*скидки_наценки!$F$13/скидки_наценки!$B$4, 50)</f>
        <v>#REF!</v>
      </c>
      <c r="L32" s="2284" t="s">
        <v>3</v>
      </c>
      <c r="M32" s="2284" t="s">
        <v>3</v>
      </c>
      <c r="N32" s="2284" t="s">
        <v>3</v>
      </c>
    </row>
    <row r="33" spans="1:14">
      <c r="A33" s="3260" t="s">
        <v>172</v>
      </c>
      <c r="B33" s="3261"/>
      <c r="C33" s="3261"/>
      <c r="D33" s="3261"/>
      <c r="E33" s="3261"/>
      <c r="F33" s="3261"/>
      <c r="G33" s="3261"/>
      <c r="H33" s="3261"/>
      <c r="I33" s="3261"/>
      <c r="J33" s="3125"/>
      <c r="K33" s="3261"/>
      <c r="L33" s="2334"/>
      <c r="M33" s="2334"/>
      <c r="N33" s="2334"/>
    </row>
    <row r="34" spans="1:14" ht="15.75">
      <c r="A34" s="3097" t="s">
        <v>178</v>
      </c>
      <c r="B34" s="3098"/>
      <c r="C34" s="3099" t="s">
        <v>304</v>
      </c>
      <c r="D34" s="3099"/>
      <c r="E34" s="3099"/>
      <c r="F34" s="3099"/>
      <c r="G34" s="167" t="s">
        <v>3</v>
      </c>
      <c r="H34" s="167" t="s">
        <v>3</v>
      </c>
      <c r="I34" s="167" t="s">
        <v>3</v>
      </c>
      <c r="J34" s="297">
        <f>Стекла_база!N79*(1+скидки_наценки!$B$32)*скидки_наценки!$D$13*скидки_наценки!$F$13/скидки_наценки!$B$4</f>
        <v>750</v>
      </c>
      <c r="K34" s="297">
        <f>'Classic Rimini '!H34</f>
        <v>550</v>
      </c>
      <c r="L34" s="167" t="s">
        <v>3</v>
      </c>
      <c r="M34" s="167" t="s">
        <v>3</v>
      </c>
      <c r="N34" s="167" t="s">
        <v>3</v>
      </c>
    </row>
    <row r="35" spans="1:14" ht="15.75">
      <c r="A35" s="3051" t="s">
        <v>234</v>
      </c>
      <c r="B35" s="3253"/>
      <c r="C35" s="3053" t="s">
        <v>305</v>
      </c>
      <c r="D35" s="3053"/>
      <c r="E35" s="3053"/>
      <c r="F35" s="3053"/>
      <c r="G35" s="2284" t="s">
        <v>3</v>
      </c>
      <c r="H35" s="2284" t="s">
        <v>3</v>
      </c>
      <c r="I35" s="2284" t="s">
        <v>3</v>
      </c>
      <c r="J35" s="279" t="s">
        <v>3</v>
      </c>
      <c r="K35" s="279">
        <f>'Classic Rimini '!H35</f>
        <v>520</v>
      </c>
      <c r="L35" s="2284" t="s">
        <v>3</v>
      </c>
      <c r="M35" s="2284" t="s">
        <v>3</v>
      </c>
      <c r="N35" s="2284" t="s">
        <v>3</v>
      </c>
    </row>
  </sheetData>
  <mergeCells count="33">
    <mergeCell ref="C21:D23"/>
    <mergeCell ref="E21:E23"/>
    <mergeCell ref="A21:B23"/>
    <mergeCell ref="C24:D24"/>
    <mergeCell ref="F21:F23"/>
    <mergeCell ref="A24:B26"/>
    <mergeCell ref="C25:D25"/>
    <mergeCell ref="C26:D26"/>
    <mergeCell ref="A10:F10"/>
    <mergeCell ref="A5:C5"/>
    <mergeCell ref="A6:C6"/>
    <mergeCell ref="A11:F11"/>
    <mergeCell ref="A15:C16"/>
    <mergeCell ref="D12:F12"/>
    <mergeCell ref="D13:F13"/>
    <mergeCell ref="D14:F14"/>
    <mergeCell ref="D15:F15"/>
    <mergeCell ref="D16:F16"/>
    <mergeCell ref="A12:C14"/>
    <mergeCell ref="A27:B27"/>
    <mergeCell ref="C27:D27"/>
    <mergeCell ref="A28:B28"/>
    <mergeCell ref="C28:D28"/>
    <mergeCell ref="A29:B32"/>
    <mergeCell ref="C29:D30"/>
    <mergeCell ref="A35:B35"/>
    <mergeCell ref="C35:F35"/>
    <mergeCell ref="E29:E30"/>
    <mergeCell ref="C31:D31"/>
    <mergeCell ref="C32:D32"/>
    <mergeCell ref="A33:K33"/>
    <mergeCell ref="A34:B34"/>
    <mergeCell ref="C34:F34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6" fitToHeight="2" orientation="landscape" useFirstPageNumber="1" r:id="rId1"/>
  <headerFooter>
    <oddFooter>&amp;L&amp;P&amp;R&amp;G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92D050"/>
  </sheetPr>
  <dimension ref="A1:CU34"/>
  <sheetViews>
    <sheetView view="pageBreakPreview" zoomScale="80" zoomScaleNormal="85" zoomScaleSheetLayoutView="80" zoomScalePageLayoutView="8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H10" sqref="H10"/>
    </sheetView>
  </sheetViews>
  <sheetFormatPr defaultColWidth="8.85546875" defaultRowHeight="15"/>
  <cols>
    <col min="1" max="1" width="4.7109375" style="471" customWidth="1"/>
    <col min="2" max="5" width="11.7109375" style="471" customWidth="1"/>
    <col min="6" max="6" width="11.7109375" style="2" customWidth="1"/>
    <col min="7" max="14" width="20.7109375" style="471" customWidth="1"/>
    <col min="15" max="15" width="9.85546875" style="815" customWidth="1"/>
    <col min="16" max="16384" width="8.85546875" style="471"/>
  </cols>
  <sheetData>
    <row r="1" spans="1:99" ht="18.75" customHeight="1">
      <c r="B1" s="1026" t="s">
        <v>307</v>
      </c>
      <c r="G1" s="305" t="str">
        <f>IFERROR(MATCH(#REF!,#REF!,0)-2,"")</f>
        <v/>
      </c>
      <c r="H1" s="305"/>
      <c r="I1" s="305" t="str">
        <f>IFERROR(MATCH(#REF!,#REF!,0)-2,"")</f>
        <v/>
      </c>
      <c r="J1" s="305" t="str">
        <f>IFERROR(MATCH(#REF!,#REF!,0)-2,"")</f>
        <v/>
      </c>
      <c r="K1" s="305" t="str">
        <f>IFERROR(MATCH(#REF!,#REF!,0)-2,"")</f>
        <v/>
      </c>
      <c r="L1" s="305" t="str">
        <f>IFERROR(MATCH(G$5,#REF!,0)-2,"")</f>
        <v/>
      </c>
      <c r="M1" s="305" t="str">
        <f>IFERROR(MATCH(I$5,#REF!,0)-2,"")</f>
        <v/>
      </c>
      <c r="N1" s="305" t="str">
        <f>IFERROR(MATCH(K$5,#REF!,0)-2,"")</f>
        <v/>
      </c>
    </row>
    <row r="2" spans="1:99" ht="18" customHeight="1">
      <c r="A2" s="1067"/>
      <c r="D2" s="2192"/>
      <c r="F2" s="4"/>
      <c r="G2" s="24"/>
      <c r="H2" s="24"/>
      <c r="I2" s="24"/>
      <c r="J2" s="24"/>
      <c r="K2" s="24"/>
      <c r="L2" s="24"/>
      <c r="M2" s="24"/>
      <c r="N2" s="24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</row>
    <row r="3" spans="1:99" ht="84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N3" s="7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</row>
    <row r="4" spans="1:99">
      <c r="A4" s="13"/>
      <c r="B4" s="41" t="s">
        <v>54</v>
      </c>
      <c r="C4" s="1067"/>
      <c r="D4" s="1067"/>
      <c r="E4" s="1067"/>
      <c r="F4" s="6"/>
      <c r="G4" s="1067"/>
      <c r="H4" s="1072"/>
      <c r="I4" s="1067"/>
      <c r="J4" s="1067"/>
      <c r="K4" s="1067"/>
      <c r="L4" s="1067"/>
      <c r="M4" s="1067"/>
      <c r="N4" s="1067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</row>
    <row r="5" spans="1:99" s="372" customFormat="1" ht="15" customHeight="1">
      <c r="A5" s="2879" t="s">
        <v>1</v>
      </c>
      <c r="B5" s="2879"/>
      <c r="C5" s="2879"/>
      <c r="D5" s="2879" t="s">
        <v>259</v>
      </c>
      <c r="E5" s="2879" t="s">
        <v>44</v>
      </c>
      <c r="F5" s="2879" t="s">
        <v>34</v>
      </c>
      <c r="G5" s="3293" t="s">
        <v>682</v>
      </c>
      <c r="H5" s="3293"/>
      <c r="I5" s="3293" t="s">
        <v>683</v>
      </c>
      <c r="J5" s="3293"/>
      <c r="K5" s="3293" t="s">
        <v>684</v>
      </c>
      <c r="L5" s="3293"/>
      <c r="O5" s="816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  <c r="AA5" s="689"/>
      <c r="AB5" s="689"/>
      <c r="AC5" s="689"/>
      <c r="AD5" s="689"/>
      <c r="AE5" s="689"/>
      <c r="AF5" s="689"/>
      <c r="AG5" s="689"/>
      <c r="AH5" s="689"/>
      <c r="AI5" s="689"/>
      <c r="AJ5" s="689"/>
      <c r="AK5" s="689"/>
      <c r="AL5" s="689"/>
      <c r="AM5" s="689"/>
      <c r="AN5" s="689"/>
      <c r="AO5" s="689"/>
      <c r="AP5" s="689"/>
      <c r="AQ5" s="689"/>
    </row>
    <row r="6" spans="1:99" s="372" customFormat="1" ht="12.75">
      <c r="A6" s="2879"/>
      <c r="B6" s="2879"/>
      <c r="C6" s="2879"/>
      <c r="D6" s="2879"/>
      <c r="E6" s="2879"/>
      <c r="F6" s="2879"/>
      <c r="G6" s="2062" t="s">
        <v>20</v>
      </c>
      <c r="H6" s="2062" t="s">
        <v>21</v>
      </c>
      <c r="I6" s="2062" t="s">
        <v>20</v>
      </c>
      <c r="J6" s="2062" t="s">
        <v>21</v>
      </c>
      <c r="K6" s="2062" t="s">
        <v>20</v>
      </c>
      <c r="L6" s="2062" t="s">
        <v>21</v>
      </c>
      <c r="O6" s="816"/>
      <c r="P6" s="689"/>
      <c r="Q6" s="689"/>
      <c r="R6" s="689"/>
      <c r="S6" s="689"/>
      <c r="T6" s="689"/>
      <c r="U6" s="689"/>
      <c r="V6" s="689"/>
      <c r="W6" s="689"/>
      <c r="X6" s="689"/>
      <c r="Y6" s="689"/>
      <c r="Z6" s="689"/>
      <c r="AA6" s="689"/>
      <c r="AB6" s="689"/>
      <c r="AC6" s="689"/>
      <c r="AD6" s="689"/>
      <c r="AE6" s="689"/>
      <c r="AF6" s="689"/>
      <c r="AG6" s="689"/>
      <c r="AH6" s="689"/>
      <c r="AI6" s="689"/>
      <c r="AJ6" s="689"/>
      <c r="AK6" s="689"/>
      <c r="AL6" s="689"/>
      <c r="AM6" s="689"/>
      <c r="AN6" s="689"/>
      <c r="AO6" s="689"/>
      <c r="AP6" s="689"/>
      <c r="AQ6" s="689"/>
    </row>
    <row r="7" spans="1:99" s="1067" customFormat="1" ht="30" customHeight="1">
      <c r="A7" s="3306" t="s">
        <v>25</v>
      </c>
      <c r="B7" s="2931" t="s">
        <v>1292</v>
      </c>
      <c r="C7" s="2931"/>
      <c r="D7" s="2028" t="s">
        <v>1953</v>
      </c>
      <c r="E7" s="2026" t="s">
        <v>31</v>
      </c>
      <c r="F7" s="2025" t="s">
        <v>0</v>
      </c>
      <c r="G7" s="2046">
        <f>'Полотна база'!AO10*(1+скидки_наценки!$B$29)*скидки_наценки!$D$13*скидки_наценки!$F$13/скидки_наценки!$B$4</f>
        <v>35510</v>
      </c>
      <c r="H7" s="2046">
        <f>G7</f>
        <v>35510</v>
      </c>
      <c r="I7" s="2046">
        <f>'Полотна база'!AP10*(1+скидки_наценки!$B$29)*скидки_наценки!$D$13*скидки_наценки!$F$13/скидки_наценки!$B$4</f>
        <v>41210</v>
      </c>
      <c r="J7" s="2046">
        <f>'Полотна база'!AR10*(1+скидки_наценки!$B$29)*скидки_наценки!$D$13*скидки_наценки!$F$13/скидки_наценки!$B$4</f>
        <v>46710</v>
      </c>
      <c r="K7" s="2046">
        <f>'Полотна база'!AQ10*(1+скидки_наценки!$B$29)*скидки_наценки!$D$13*скидки_наценки!$F$13/скидки_наценки!$B$4</f>
        <v>41210</v>
      </c>
      <c r="L7" s="2046">
        <f>'Полотна база'!AS10*(1+скидки_наценки!$B$29)*скидки_наценки!$D$13*скидки_наценки!$F$13/скидки_наценки!$B$4</f>
        <v>46710</v>
      </c>
      <c r="O7" s="815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  <c r="AO7" s="359"/>
      <c r="AP7" s="359"/>
      <c r="AQ7" s="359"/>
    </row>
    <row r="8" spans="1:99" s="1067" customFormat="1" ht="30" customHeight="1">
      <c r="A8" s="3306"/>
      <c r="B8" s="2932" t="s">
        <v>1289</v>
      </c>
      <c r="C8" s="2932"/>
      <c r="D8" s="2028" t="s">
        <v>1953</v>
      </c>
      <c r="E8" s="2028" t="s">
        <v>31</v>
      </c>
      <c r="F8" s="2027" t="s">
        <v>0</v>
      </c>
      <c r="G8" s="2047">
        <f>'Полотна база'!AO11*(1+скидки_наценки!$B$29)*скидки_наценки!$D$13*скидки_наценки!$F$13/скидки_наценки!$B$4</f>
        <v>37950</v>
      </c>
      <c r="H8" s="2047">
        <f>G8</f>
        <v>37950</v>
      </c>
      <c r="I8" s="2047">
        <f>'Полотна база'!AP11*(1+скидки_наценки!$B$29)*скидки_наценки!$D$13*скидки_наценки!$F$13/скидки_наценки!$B$4</f>
        <v>43650</v>
      </c>
      <c r="J8" s="2047">
        <f>'Полотна база'!AR11*(1+скидки_наценки!$B$29)*скидки_наценки!$D$13*скидки_наценки!$F$13/скидки_наценки!$B$4</f>
        <v>49150</v>
      </c>
      <c r="K8" s="2047">
        <f>'Полотна база'!AQ11*(1+скидки_наценки!$B$29)*скидки_наценки!$D$13*скидки_наценки!$F$13/скидки_наценки!$B$4</f>
        <v>43650</v>
      </c>
      <c r="L8" s="2047">
        <f>'Полотна база'!AS11*(1+скидки_наценки!$B$29)*скидки_наценки!$D$13*скидки_наценки!$F$13/скидки_наценки!$B$4</f>
        <v>49150</v>
      </c>
      <c r="O8" s="815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  <c r="AQ8" s="359"/>
    </row>
    <row r="9" spans="1:99" s="1067" customFormat="1" ht="30" customHeight="1">
      <c r="A9" s="3306"/>
      <c r="B9" s="2931" t="s">
        <v>1839</v>
      </c>
      <c r="C9" s="2931"/>
      <c r="D9" s="2028" t="s">
        <v>1953</v>
      </c>
      <c r="E9" s="2026" t="s">
        <v>31</v>
      </c>
      <c r="F9" s="2025" t="s">
        <v>0</v>
      </c>
      <c r="G9" s="2046">
        <f>'Полотна база'!AO13*(1+скидки_наценки!$B$29)*скидки_наценки!$D$13*скидки_наценки!$F$13/скидки_наценки!$B$4</f>
        <v>41100</v>
      </c>
      <c r="H9" s="2046">
        <f>G9</f>
        <v>41100</v>
      </c>
      <c r="I9" s="2046">
        <f>'Полотна база'!AP13*(1+скидки_наценки!$B$29)*скидки_наценки!$D$13*скидки_наценки!$F$13/скидки_наценки!$B$4</f>
        <v>46800</v>
      </c>
      <c r="J9" s="2046">
        <f>'Полотна база'!AR13*(1+скидки_наценки!$B$29)*скидки_наценки!$D$13*скидки_наценки!$F$13/скидки_наценки!$B$4</f>
        <v>52300</v>
      </c>
      <c r="K9" s="2046">
        <f>'Полотна база'!AQ13*(1+скидки_наценки!$B$29)*скидки_наценки!$D$13*скидки_наценки!$F$13/скидки_наценки!$B$4</f>
        <v>46800</v>
      </c>
      <c r="L9" s="2046">
        <f>'Полотна база'!AS13*(1+скидки_наценки!$B$29)*скидки_наценки!$D$13*скидки_наценки!$F$13/скидки_наценки!$B$4</f>
        <v>52300</v>
      </c>
      <c r="O9" s="815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  <c r="AQ9" s="359"/>
    </row>
    <row r="10" spans="1:99" ht="18" customHeight="1">
      <c r="F10" s="471"/>
      <c r="G10" s="25"/>
      <c r="H10" s="25"/>
      <c r="L10" s="31"/>
      <c r="M10" s="31"/>
      <c r="N10" s="3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</row>
    <row r="11" spans="1:99" ht="15" customHeight="1">
      <c r="A11" s="1067"/>
      <c r="B11" s="17" t="s">
        <v>19</v>
      </c>
      <c r="C11" s="1067"/>
      <c r="D11" s="1067"/>
      <c r="E11" s="1067"/>
      <c r="F11" s="6"/>
      <c r="G11" s="3"/>
      <c r="H11" s="3"/>
      <c r="I11" s="208"/>
      <c r="J11" s="208"/>
      <c r="K11" s="3"/>
      <c r="L11" s="3"/>
      <c r="M11" s="20"/>
      <c r="N11" s="1067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</row>
    <row r="12" spans="1:99" s="372" customFormat="1" ht="15" customHeight="1">
      <c r="A12" s="3185" t="s">
        <v>2</v>
      </c>
      <c r="B12" s="3185"/>
      <c r="C12" s="3185"/>
      <c r="D12" s="3185"/>
      <c r="E12" s="3185"/>
      <c r="F12" s="3185"/>
      <c r="G12" s="3204" t="s">
        <v>682</v>
      </c>
      <c r="H12" s="3204"/>
      <c r="I12" s="3204" t="s">
        <v>683</v>
      </c>
      <c r="J12" s="3204"/>
      <c r="K12" s="3204" t="s">
        <v>684</v>
      </c>
      <c r="L12" s="3204"/>
      <c r="O12" s="816"/>
      <c r="P12" s="689"/>
      <c r="Q12" s="689"/>
      <c r="R12" s="689"/>
      <c r="S12" s="689"/>
      <c r="T12" s="689"/>
      <c r="U12" s="689"/>
      <c r="V12" s="689"/>
      <c r="W12" s="689"/>
      <c r="X12" s="689"/>
      <c r="Y12" s="689"/>
      <c r="Z12" s="689"/>
      <c r="AA12" s="689"/>
      <c r="AB12" s="689"/>
      <c r="AC12" s="689"/>
      <c r="AD12" s="689"/>
      <c r="AE12" s="689"/>
      <c r="AF12" s="689"/>
      <c r="AG12" s="689"/>
      <c r="AH12" s="689"/>
      <c r="AI12" s="689"/>
      <c r="AJ12" s="689"/>
      <c r="AK12" s="689"/>
      <c r="AL12" s="689"/>
      <c r="AM12" s="689"/>
      <c r="AN12" s="689"/>
      <c r="AO12" s="689"/>
      <c r="AP12" s="689"/>
      <c r="AQ12" s="689"/>
    </row>
    <row r="13" spans="1:99" s="64" customFormat="1" ht="15" customHeight="1">
      <c r="A13" s="3277" t="s">
        <v>874</v>
      </c>
      <c r="B13" s="3025"/>
      <c r="C13" s="3003"/>
      <c r="D13" s="3281" t="s">
        <v>868</v>
      </c>
      <c r="E13" s="3282"/>
      <c r="F13" s="3283"/>
      <c r="G13" s="1345">
        <f>Стекла_база!H16*(1+скидки_наценки!$B$32)*скидки_наценки!$D$13*скидки_наценки!$F$13/скидки_наценки!$B$4</f>
        <v>6750</v>
      </c>
      <c r="H13" s="1344"/>
      <c r="I13" s="1344"/>
      <c r="J13" s="1433" t="s">
        <v>1311</v>
      </c>
      <c r="K13" s="1433" t="s">
        <v>1311</v>
      </c>
      <c r="L13" s="1433" t="s">
        <v>1311</v>
      </c>
      <c r="O13" s="815"/>
      <c r="P13" s="360"/>
      <c r="Q13" s="360"/>
      <c r="R13" s="360"/>
      <c r="S13" s="360"/>
      <c r="T13" s="360"/>
      <c r="U13" s="360"/>
      <c r="V13" s="360"/>
      <c r="W13" s="360"/>
      <c r="X13" s="360"/>
      <c r="Y13" s="360"/>
      <c r="Z13" s="360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  <c r="AL13" s="360"/>
      <c r="AM13" s="360"/>
      <c r="AN13" s="360"/>
      <c r="AO13" s="360"/>
      <c r="AP13" s="360"/>
      <c r="AQ13" s="360"/>
      <c r="AR13" s="251"/>
      <c r="AS13" s="251"/>
      <c r="AT13" s="251"/>
      <c r="AU13" s="251"/>
      <c r="AV13" s="251"/>
      <c r="AW13" s="251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  <c r="CE13" s="251"/>
      <c r="CF13" s="251"/>
      <c r="CG13" s="251"/>
      <c r="CH13" s="251"/>
      <c r="CI13" s="251"/>
      <c r="CJ13" s="251"/>
      <c r="CK13" s="251"/>
      <c r="CL13" s="251"/>
      <c r="CM13" s="251"/>
      <c r="CN13" s="251"/>
      <c r="CO13" s="251"/>
      <c r="CP13" s="251"/>
      <c r="CQ13" s="251"/>
      <c r="CR13" s="251"/>
      <c r="CS13" s="251"/>
      <c r="CT13" s="251"/>
      <c r="CU13" s="251"/>
    </row>
    <row r="14" spans="1:99" s="64" customFormat="1" ht="15" customHeight="1">
      <c r="A14" s="3006"/>
      <c r="B14" s="3026"/>
      <c r="C14" s="3007"/>
      <c r="D14" s="3284" t="s">
        <v>1389</v>
      </c>
      <c r="E14" s="3285"/>
      <c r="F14" s="3286"/>
      <c r="G14" s="1348">
        <f>Стекла_база!I16*(1+скидки_наценки!$B$32)*скидки_наценки!$D$13*скидки_наценки!$F$13/скидки_наценки!$B$4</f>
        <v>8800</v>
      </c>
      <c r="H14" s="1347"/>
      <c r="I14" s="1347"/>
      <c r="J14" s="1434" t="s">
        <v>1311</v>
      </c>
      <c r="K14" s="1434" t="s">
        <v>1311</v>
      </c>
      <c r="L14" s="1434" t="s">
        <v>1311</v>
      </c>
      <c r="O14" s="815"/>
      <c r="P14" s="360"/>
      <c r="Q14" s="360"/>
      <c r="R14" s="360"/>
      <c r="S14" s="360"/>
      <c r="T14" s="360"/>
      <c r="U14" s="360"/>
      <c r="V14" s="360"/>
      <c r="W14" s="360"/>
      <c r="X14" s="360"/>
      <c r="Y14" s="360"/>
      <c r="Z14" s="360"/>
      <c r="AA14" s="360"/>
      <c r="AB14" s="360"/>
      <c r="AC14" s="360"/>
      <c r="AD14" s="360"/>
      <c r="AE14" s="360"/>
      <c r="AF14" s="360"/>
      <c r="AG14" s="360"/>
      <c r="AH14" s="360"/>
      <c r="AI14" s="360"/>
      <c r="AJ14" s="360"/>
      <c r="AK14" s="360"/>
      <c r="AL14" s="360"/>
      <c r="AM14" s="360"/>
      <c r="AN14" s="360"/>
      <c r="AO14" s="360"/>
      <c r="AP14" s="360"/>
      <c r="AQ14" s="360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  <c r="CP14" s="251"/>
      <c r="CQ14" s="251"/>
      <c r="CR14" s="251"/>
      <c r="CS14" s="251"/>
      <c r="CT14" s="251"/>
      <c r="CU14" s="251"/>
    </row>
    <row r="15" spans="1:99" ht="18" customHeight="1">
      <c r="A15" s="1068"/>
      <c r="B15" s="1068"/>
      <c r="C15" s="1068"/>
      <c r="D15" s="1068"/>
      <c r="E15" s="1068"/>
      <c r="F15" s="1068"/>
      <c r="G15" s="1336"/>
      <c r="H15" s="27"/>
      <c r="I15" s="27"/>
      <c r="J15" s="27"/>
      <c r="K15" s="27"/>
      <c r="L15" s="27"/>
      <c r="M15" s="27"/>
      <c r="N15" s="33"/>
      <c r="P15" s="360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</row>
    <row r="16" spans="1:99">
      <c r="A16" s="1067"/>
      <c r="B16" s="17" t="s">
        <v>24</v>
      </c>
      <c r="C16" s="1067"/>
      <c r="D16" s="1067"/>
      <c r="E16" s="1067"/>
      <c r="F16" s="6"/>
      <c r="G16" s="1067"/>
      <c r="H16" s="1072"/>
      <c r="I16" s="1067"/>
      <c r="J16" s="1067"/>
      <c r="K16" s="1067"/>
      <c r="L16" s="1067"/>
      <c r="M16" s="1067"/>
      <c r="N16" s="1067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80"/>
      <c r="AD16" s="480"/>
      <c r="AE16" s="480"/>
      <c r="AF16" s="480"/>
      <c r="AG16" s="480"/>
      <c r="AH16" s="480"/>
      <c r="AI16" s="480"/>
      <c r="AJ16" s="480"/>
      <c r="AK16" s="480"/>
      <c r="AL16" s="480"/>
      <c r="AM16" s="480"/>
      <c r="AN16" s="480"/>
      <c r="AO16" s="480"/>
      <c r="AP16" s="480"/>
      <c r="AQ16" s="480"/>
    </row>
    <row r="17" spans="1:43" ht="15" customHeight="1">
      <c r="A17" s="2881" t="s">
        <v>36</v>
      </c>
      <c r="B17" s="2883"/>
      <c r="C17" s="2881" t="s">
        <v>166</v>
      </c>
      <c r="D17" s="2883"/>
      <c r="E17" s="2988" t="s">
        <v>37</v>
      </c>
      <c r="F17" s="2988" t="s">
        <v>35</v>
      </c>
      <c r="G17" s="2992" t="s">
        <v>682</v>
      </c>
      <c r="H17" s="3058"/>
      <c r="I17" s="2992" t="s">
        <v>683</v>
      </c>
      <c r="J17" s="3058"/>
      <c r="K17" s="2992" t="s">
        <v>1208</v>
      </c>
      <c r="L17" s="3058"/>
      <c r="O17" s="817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80"/>
      <c r="AD17" s="480"/>
      <c r="AE17" s="480"/>
      <c r="AF17" s="480"/>
      <c r="AG17" s="480"/>
      <c r="AH17" s="480"/>
      <c r="AI17" s="480"/>
      <c r="AJ17" s="480"/>
      <c r="AK17" s="480"/>
      <c r="AL17" s="480"/>
      <c r="AM17" s="480"/>
      <c r="AN17" s="480"/>
      <c r="AO17" s="480"/>
      <c r="AP17" s="480"/>
      <c r="AQ17" s="480"/>
    </row>
    <row r="18" spans="1:43" ht="15" customHeight="1">
      <c r="A18" s="3032"/>
      <c r="B18" s="3033"/>
      <c r="C18" s="3032"/>
      <c r="D18" s="3033"/>
      <c r="E18" s="3034"/>
      <c r="F18" s="3034"/>
      <c r="G18" s="2990" t="str">
        <f t="shared" ref="G18:L18" si="0">G6</f>
        <v>ДГ</v>
      </c>
      <c r="H18" s="1119" t="str">
        <f t="shared" si="0"/>
        <v>ДО</v>
      </c>
      <c r="I18" s="2990" t="str">
        <f t="shared" si="0"/>
        <v>ДГ</v>
      </c>
      <c r="J18" s="1119" t="str">
        <f t="shared" si="0"/>
        <v>ДО</v>
      </c>
      <c r="K18" s="3143" t="str">
        <f t="shared" si="0"/>
        <v>ДГ</v>
      </c>
      <c r="L18" s="1119" t="str">
        <f t="shared" si="0"/>
        <v>ДО</v>
      </c>
      <c r="M18" s="10"/>
      <c r="O18" s="817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80"/>
      <c r="AD18" s="480"/>
      <c r="AE18" s="480"/>
      <c r="AF18" s="480"/>
      <c r="AG18" s="480"/>
      <c r="AH18" s="480"/>
      <c r="AI18" s="480"/>
      <c r="AJ18" s="480"/>
      <c r="AK18" s="480"/>
      <c r="AL18" s="480"/>
      <c r="AM18" s="480"/>
      <c r="AN18" s="480"/>
      <c r="AO18" s="480"/>
      <c r="AP18" s="480"/>
      <c r="AQ18" s="480"/>
    </row>
    <row r="19" spans="1:43" s="1067" customFormat="1" ht="15" customHeight="1">
      <c r="A19" s="2946"/>
      <c r="B19" s="2948"/>
      <c r="C19" s="2946"/>
      <c r="D19" s="2948"/>
      <c r="E19" s="2989"/>
      <c r="F19" s="2989"/>
      <c r="G19" s="2991"/>
      <c r="H19" s="1139" t="s">
        <v>1209</v>
      </c>
      <c r="I19" s="2991"/>
      <c r="J19" s="1139" t="s">
        <v>1209</v>
      </c>
      <c r="K19" s="3143"/>
      <c r="L19" s="1139" t="s">
        <v>1209</v>
      </c>
      <c r="O19" s="817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80"/>
      <c r="AD19" s="480"/>
      <c r="AE19" s="480"/>
      <c r="AF19" s="480"/>
      <c r="AG19" s="480"/>
      <c r="AH19" s="480"/>
      <c r="AI19" s="480"/>
      <c r="AJ19" s="480"/>
      <c r="AK19" s="480"/>
      <c r="AL19" s="480"/>
      <c r="AM19" s="480"/>
      <c r="AN19" s="480"/>
      <c r="AO19" s="480"/>
      <c r="AP19" s="480"/>
      <c r="AQ19" s="480"/>
    </row>
    <row r="20" spans="1:43" s="1072" customFormat="1" ht="19.899999999999999" customHeight="1">
      <c r="A20" s="3294" t="s">
        <v>191</v>
      </c>
      <c r="B20" s="3295"/>
      <c r="C20" s="3300" t="s">
        <v>1063</v>
      </c>
      <c r="D20" s="3301"/>
      <c r="E20" s="1074" t="s">
        <v>170</v>
      </c>
      <c r="F20" s="122"/>
      <c r="G20" s="1599"/>
      <c r="H20" s="1602" t="s">
        <v>1192</v>
      </c>
      <c r="I20" s="1603"/>
      <c r="J20" s="1602" t="s">
        <v>1192</v>
      </c>
      <c r="K20" s="1603"/>
      <c r="L20" s="1601" t="s">
        <v>1192</v>
      </c>
      <c r="N20" s="13"/>
      <c r="O20" s="817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80"/>
      <c r="AD20" s="480"/>
      <c r="AE20" s="480"/>
      <c r="AF20" s="480"/>
      <c r="AG20" s="480"/>
      <c r="AH20" s="480"/>
      <c r="AI20" s="480"/>
      <c r="AJ20" s="480"/>
      <c r="AK20" s="480"/>
      <c r="AL20" s="480"/>
      <c r="AM20" s="480"/>
      <c r="AN20" s="480"/>
      <c r="AO20" s="480"/>
      <c r="AP20" s="480"/>
      <c r="AQ20" s="480"/>
    </row>
    <row r="21" spans="1:43" s="60" customFormat="1" ht="24" customHeight="1">
      <c r="A21" s="3296"/>
      <c r="B21" s="3297"/>
      <c r="C21" s="3302" t="s">
        <v>1415</v>
      </c>
      <c r="D21" s="3303"/>
      <c r="E21" s="161" t="s">
        <v>171</v>
      </c>
      <c r="F21" s="160" t="s">
        <v>3</v>
      </c>
      <c r="G21" s="277"/>
      <c r="H21" s="277" t="s">
        <v>1192</v>
      </c>
      <c r="I21" s="277"/>
      <c r="J21" s="277" t="str">
        <f>H21</f>
        <v>˅</v>
      </c>
      <c r="K21" s="1208"/>
      <c r="L21" s="277" t="str">
        <f>H21</f>
        <v>˅</v>
      </c>
      <c r="N21" s="359"/>
      <c r="O21" s="817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</row>
    <row r="22" spans="1:43" s="60" customFormat="1" ht="19.899999999999999" hidden="1" customHeight="1">
      <c r="A22" s="3298"/>
      <c r="B22" s="3299"/>
      <c r="C22" s="3304" t="s">
        <v>1065</v>
      </c>
      <c r="D22" s="3305"/>
      <c r="E22" s="163" t="s">
        <v>171</v>
      </c>
      <c r="F22" s="1073" t="s">
        <v>3</v>
      </c>
      <c r="G22" s="313"/>
      <c r="H22" s="313" t="e">
        <f>CEILING(#REF!*(1+скидки_наценки!$B$32)*скидки_наценки!$D$13*скидки_наценки!$F$13/скидки_наценки!$B$4, 50)-H30</f>
        <v>#REF!</v>
      </c>
      <c r="I22" s="313"/>
      <c r="J22" s="313" t="e">
        <f>H22</f>
        <v>#REF!</v>
      </c>
      <c r="K22" s="313"/>
      <c r="L22" s="313" t="e">
        <f>H22</f>
        <v>#REF!</v>
      </c>
      <c r="N22" s="359"/>
      <c r="O22" s="817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480"/>
      <c r="AC22" s="480"/>
      <c r="AD22" s="480"/>
      <c r="AE22" s="480"/>
      <c r="AF22" s="480"/>
      <c r="AG22" s="480"/>
      <c r="AH22" s="480"/>
      <c r="AI22" s="480"/>
      <c r="AJ22" s="480"/>
      <c r="AK22" s="480"/>
      <c r="AL22" s="480"/>
      <c r="AM22" s="480"/>
      <c r="AN22" s="480"/>
      <c r="AO22" s="480"/>
      <c r="AP22" s="480"/>
      <c r="AQ22" s="480"/>
    </row>
    <row r="23" spans="1:43" s="1067" customFormat="1" ht="25.15" hidden="1" customHeight="1">
      <c r="A23" s="3036" t="s">
        <v>30</v>
      </c>
      <c r="B23" s="3037"/>
      <c r="C23" s="3042" t="s">
        <v>1062</v>
      </c>
      <c r="D23" s="3043"/>
      <c r="E23" s="116" t="s">
        <v>170</v>
      </c>
      <c r="F23" s="42" t="s">
        <v>3</v>
      </c>
      <c r="G23" s="728" t="e">
        <f>CEILING(#REF!*(1+скидки_наценки!$B$32)*скидки_наценки!$D$13*скидки_наценки!$F$13/скидки_наценки!$B$4, 50)</f>
        <v>#REF!</v>
      </c>
      <c r="H23" s="728"/>
      <c r="I23" s="728" t="e">
        <f>CEILING(#REF!*(1+скидки_наценки!$B$32)*скидки_наценки!$D$13*скидки_наценки!$F$13/скидки_наценки!$B$4, 50)</f>
        <v>#REF!</v>
      </c>
      <c r="J23" s="728"/>
      <c r="K23" s="728" t="e">
        <f>CEILING(#REF!*(1+скидки_наценки!$B$32)*скидки_наценки!$D$13*скидки_наценки!$F$13/скидки_наценки!$B$4, 50)</f>
        <v>#REF!</v>
      </c>
      <c r="L23" s="728"/>
      <c r="N23" s="13"/>
      <c r="O23" s="3307"/>
      <c r="P23" s="480"/>
      <c r="Q23" s="480"/>
      <c r="R23" s="480"/>
      <c r="S23" s="480"/>
      <c r="T23" s="480"/>
      <c r="U23" s="480"/>
      <c r="V23" s="480"/>
      <c r="W23" s="480"/>
      <c r="X23" s="480"/>
      <c r="Y23" s="480"/>
      <c r="Z23" s="480"/>
      <c r="AA23" s="480"/>
      <c r="AB23" s="480"/>
      <c r="AC23" s="480"/>
      <c r="AD23" s="480"/>
      <c r="AE23" s="480"/>
      <c r="AF23" s="480"/>
      <c r="AG23" s="480"/>
      <c r="AH23" s="480"/>
      <c r="AI23" s="480"/>
      <c r="AJ23" s="480"/>
      <c r="AK23" s="480"/>
      <c r="AL23" s="480"/>
      <c r="AM23" s="480"/>
      <c r="AN23" s="480"/>
      <c r="AO23" s="480"/>
      <c r="AP23" s="480"/>
      <c r="AQ23" s="480"/>
    </row>
    <row r="24" spans="1:43" s="1067" customFormat="1" ht="25.15" hidden="1" customHeight="1">
      <c r="A24" s="3038"/>
      <c r="B24" s="3039"/>
      <c r="C24" s="2896" t="s">
        <v>164</v>
      </c>
      <c r="D24" s="3308"/>
      <c r="E24" s="1136" t="s">
        <v>171</v>
      </c>
      <c r="F24" s="1137" t="s">
        <v>3</v>
      </c>
      <c r="G24" s="1138" t="e">
        <f>CEILING((G23+#REF!)*(1+скидки_наценки!$B$32)*скидки_наценки!$D$13*скидки_наценки!$F$13/скидки_наценки!$B$4, 50)</f>
        <v>#REF!</v>
      </c>
      <c r="H24" s="1138"/>
      <c r="I24" s="1138" t="e">
        <f>CEILING((I23+#REF!)*(1+скидки_наценки!$B$32)*скидки_наценки!$D$13*скидки_наценки!$F$13/скидки_наценки!$B$4, 50)</f>
        <v>#REF!</v>
      </c>
      <c r="J24" s="1138"/>
      <c r="K24" s="1138" t="e">
        <f>CEILING((K23+#REF!)*(1+скидки_наценки!$B$32)*скидки_наценки!$D$13*скидки_наценки!$F$13/скидки_наценки!$B$4, 50)</f>
        <v>#REF!</v>
      </c>
      <c r="L24" s="1138"/>
      <c r="N24" s="13"/>
      <c r="O24" s="3307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  <c r="AO24" s="480"/>
      <c r="AP24" s="480"/>
      <c r="AQ24" s="480"/>
    </row>
    <row r="25" spans="1:43" s="1067" customFormat="1" ht="25.15" hidden="1" customHeight="1">
      <c r="A25" s="3040"/>
      <c r="B25" s="3041"/>
      <c r="C25" s="3006" t="s">
        <v>165</v>
      </c>
      <c r="D25" s="3007"/>
      <c r="E25" s="682" t="s">
        <v>171</v>
      </c>
      <c r="F25" s="1066" t="s">
        <v>3</v>
      </c>
      <c r="G25" s="277" t="e">
        <f>CEILING((G23+#REF!)*(1+скидки_наценки!$B$32)*скидки_наценки!$D$13*скидки_наценки!$F$13/скидки_наценки!$B$4, 50)</f>
        <v>#REF!</v>
      </c>
      <c r="H25" s="277"/>
      <c r="I25" s="277" t="e">
        <f>CEILING((I23+#REF!)*(1+скидки_наценки!$B$32)*скидки_наценки!$D$13*скидки_наценки!$F$13/скидки_наценки!$B$4, 50)</f>
        <v>#REF!</v>
      </c>
      <c r="J25" s="277"/>
      <c r="K25" s="277" t="e">
        <f>CEILING((K23+#REF!)*(1+скидки_наценки!$B$32)*скидки_наценки!$D$13*скидки_наценки!$F$13/скидки_наценки!$B$4, 50)</f>
        <v>#REF!</v>
      </c>
      <c r="L25" s="277"/>
      <c r="N25" s="13"/>
      <c r="O25" s="3307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/>
      <c r="AQ25" s="480"/>
    </row>
    <row r="26" spans="1:43" s="60" customFormat="1" ht="34.9" hidden="1" customHeight="1">
      <c r="A26" s="3156" t="s">
        <v>167</v>
      </c>
      <c r="B26" s="3157"/>
      <c r="C26" s="3262" t="s">
        <v>1059</v>
      </c>
      <c r="D26" s="3263"/>
      <c r="E26" s="1098" t="s">
        <v>171</v>
      </c>
      <c r="F26" s="125" t="s">
        <v>3</v>
      </c>
      <c r="G26" s="311" t="e">
        <f>CEILING(#REF!*(1+скидки_наценки!$B$32)*скидки_наценки!$D$13*скидки_наценки!$F$13/скидки_наценки!$B$4, 50)</f>
        <v>#REF!</v>
      </c>
      <c r="H26" s="311"/>
      <c r="I26" s="311" t="e">
        <f>CEILING(#REF!*(1+скидки_наценки!$B$32)*скидки_наценки!$D$13*скидки_наценки!$F$13/скидки_наценки!$B$4, 50)</f>
        <v>#REF!</v>
      </c>
      <c r="J26" s="311"/>
      <c r="K26" s="311" t="e">
        <f>CEILING(#REF!*(1+скидки_наценки!$B$32)*скидки_наценки!$D$13*скидки_наценки!$F$13/скидки_наценки!$B$4, 50)</f>
        <v>#REF!</v>
      </c>
      <c r="L26" s="311"/>
      <c r="N26" s="359"/>
      <c r="O26" s="3307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</row>
    <row r="27" spans="1:43" s="20" customFormat="1" ht="30" hidden="1" customHeight="1">
      <c r="A27" s="3049" t="s">
        <v>169</v>
      </c>
      <c r="B27" s="3050"/>
      <c r="C27" s="3022" t="s">
        <v>168</v>
      </c>
      <c r="D27" s="3024"/>
      <c r="E27" s="1075" t="s">
        <v>171</v>
      </c>
      <c r="F27" s="349" t="s">
        <v>886</v>
      </c>
      <c r="G27" s="310" t="e">
        <f>CEILING(#REF!*(1+скидки_наценки!$B$32)*скидки_наценки!$D$13*скидки_наценки!$F$13/скидки_наценки!$B$4, 50)</f>
        <v>#REF!</v>
      </c>
      <c r="H27" s="310"/>
      <c r="I27" s="310" t="e">
        <f>CEILING(#REF!*(1+скидки_наценки!$B$32)*скидки_наценки!$D$13*скидки_наценки!$F$13/скидки_наценки!$B$4, 50)</f>
        <v>#REF!</v>
      </c>
      <c r="J27" s="310"/>
      <c r="K27" s="310" t="e">
        <f>CEILING(#REF!*(1+скидки_наценки!$B$32)*скидки_наценки!$D$13*скидки_наценки!$F$13/скидки_наценки!$B$4, 50)</f>
        <v>#REF!</v>
      </c>
      <c r="L27" s="310"/>
      <c r="N27" s="1604"/>
      <c r="O27" s="3307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</row>
    <row r="28" spans="1:43" s="60" customFormat="1" ht="14.1" hidden="1" customHeight="1">
      <c r="A28" s="1108" t="s">
        <v>172</v>
      </c>
      <c r="B28" s="800"/>
      <c r="C28" s="800"/>
      <c r="D28" s="800"/>
      <c r="E28" s="800"/>
      <c r="F28" s="800"/>
      <c r="G28" s="800"/>
      <c r="H28" s="800"/>
      <c r="I28" s="800"/>
      <c r="J28" s="800"/>
      <c r="K28" s="800"/>
      <c r="L28" s="1126"/>
      <c r="N28" s="359"/>
      <c r="O28" s="3307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</row>
    <row r="29" spans="1:43" s="20" customFormat="1" ht="19.899999999999999" customHeight="1">
      <c r="A29" s="3097" t="s">
        <v>178</v>
      </c>
      <c r="B29" s="3098"/>
      <c r="C29" s="3099" t="s">
        <v>304</v>
      </c>
      <c r="D29" s="3099"/>
      <c r="E29" s="3099"/>
      <c r="F29" s="3099"/>
      <c r="G29" s="1600"/>
      <c r="H29" s="1600">
        <f>Стекла_база!N80*(1+скидки_наценки!$B$32)*скидки_наценки!$D$13*скидки_наценки!$F$13/скидки_наценки!$B$4</f>
        <v>550</v>
      </c>
      <c r="I29" s="1600"/>
      <c r="J29" s="1600">
        <f>Стекла_база!N80*(1+скидки_наценки!$B$32)*скидки_наценки!$D$13*скидки_наценки!$F$13/скидки_наценки!$B$4</f>
        <v>550</v>
      </c>
      <c r="K29" s="1600"/>
      <c r="L29" s="1600">
        <f>Стекла_база!N79*(1+скидки_наценки!$B$32)*скидки_наценки!$D$13*скидки_наценки!$F$13/скидки_наценки!$B$4</f>
        <v>750</v>
      </c>
      <c r="N29" s="1604"/>
      <c r="O29" s="3307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</row>
    <row r="30" spans="1:43" s="20" customFormat="1" ht="19.5" customHeight="1">
      <c r="A30" s="1465"/>
      <c r="B30" s="3292" t="s">
        <v>888</v>
      </c>
      <c r="C30" s="3292"/>
      <c r="D30" s="1465"/>
      <c r="E30" s="1465"/>
      <c r="F30" s="1465"/>
      <c r="G30" s="1605" t="s">
        <v>1542</v>
      </c>
      <c r="H30" s="1605" t="e">
        <f>#REF!*(1+скидки_наценки!$B$32)*скидки_наценки!$D$13*скидки_наценки!$F$13/скидки_наценки!$B$4</f>
        <v>#REF!</v>
      </c>
      <c r="I30" s="1605"/>
      <c r="J30" s="1605" t="e">
        <f>CEILING(#REF!*(1+скидки_наценки!$B$32)*скидки_наценки!$D$13*скидки_наценки!$F$13/скидки_наценки!$B$4, 50)</f>
        <v>#REF!</v>
      </c>
      <c r="K30" s="1605"/>
      <c r="L30" s="1605" t="e">
        <f>CEILING(#REF!*(1+скидки_наценки!$B$32)*скидки_наценки!$D$13*скидки_наценки!$F$13/скидки_наценки!$B$4, 50)</f>
        <v>#REF!</v>
      </c>
      <c r="O30" s="1466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480"/>
      <c r="AG30" s="480"/>
      <c r="AH30" s="480"/>
      <c r="AI30" s="480"/>
      <c r="AJ30" s="480"/>
      <c r="AK30" s="480"/>
      <c r="AL30" s="480"/>
      <c r="AM30" s="480"/>
      <c r="AN30" s="480"/>
      <c r="AO30" s="480"/>
      <c r="AP30" s="480"/>
      <c r="AQ30" s="480"/>
    </row>
    <row r="31" spans="1:43" ht="15" customHeight="1">
      <c r="B31" s="372" t="s">
        <v>1446</v>
      </c>
      <c r="F31" s="471"/>
      <c r="G31" s="108"/>
      <c r="H31" s="108"/>
      <c r="J31" s="108"/>
      <c r="K31" s="108"/>
      <c r="L31" s="108"/>
      <c r="M31" s="108"/>
      <c r="N31" s="108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480"/>
      <c r="AG31" s="480"/>
      <c r="AH31" s="480"/>
      <c r="AI31" s="480"/>
      <c r="AJ31" s="480"/>
      <c r="AK31" s="480"/>
      <c r="AL31" s="480"/>
      <c r="AM31" s="480"/>
      <c r="AN31" s="480"/>
      <c r="AO31" s="480"/>
      <c r="AP31" s="480"/>
      <c r="AQ31" s="480"/>
    </row>
    <row r="32" spans="1:43">
      <c r="B32" s="372" t="s">
        <v>1445</v>
      </c>
      <c r="K32" s="1205"/>
    </row>
    <row r="33" spans="1:43">
      <c r="B33" s="372" t="s">
        <v>1838</v>
      </c>
      <c r="H33" s="1205"/>
      <c r="J33" s="1205"/>
    </row>
    <row r="34" spans="1:43" ht="15" customHeight="1">
      <c r="A34" s="26"/>
      <c r="C34" s="40"/>
      <c r="D34" s="40"/>
      <c r="E34" s="40"/>
      <c r="F34" s="40"/>
      <c r="G34" s="40"/>
      <c r="H34" s="40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</row>
  </sheetData>
  <mergeCells count="44">
    <mergeCell ref="A23:B25"/>
    <mergeCell ref="C23:D23"/>
    <mergeCell ref="O23:O29"/>
    <mergeCell ref="C24:D24"/>
    <mergeCell ref="C25:D25"/>
    <mergeCell ref="A26:B26"/>
    <mergeCell ref="C26:D26"/>
    <mergeCell ref="A27:B27"/>
    <mergeCell ref="C27:D27"/>
    <mergeCell ref="A29:B29"/>
    <mergeCell ref="C29:F29"/>
    <mergeCell ref="A12:F12"/>
    <mergeCell ref="A13:C14"/>
    <mergeCell ref="D13:F13"/>
    <mergeCell ref="D14:F14"/>
    <mergeCell ref="A17:B19"/>
    <mergeCell ref="C17:D19"/>
    <mergeCell ref="E17:E19"/>
    <mergeCell ref="F17:F19"/>
    <mergeCell ref="A7:A9"/>
    <mergeCell ref="B7:C7"/>
    <mergeCell ref="A5:C6"/>
    <mergeCell ref="B8:C8"/>
    <mergeCell ref="G5:H5"/>
    <mergeCell ref="F5:F6"/>
    <mergeCell ref="E5:E6"/>
    <mergeCell ref="D5:D6"/>
    <mergeCell ref="B9:C9"/>
    <mergeCell ref="B30:C30"/>
    <mergeCell ref="K5:L5"/>
    <mergeCell ref="G18:G19"/>
    <mergeCell ref="I18:I19"/>
    <mergeCell ref="K18:K19"/>
    <mergeCell ref="A20:B22"/>
    <mergeCell ref="C20:D20"/>
    <mergeCell ref="C21:D21"/>
    <mergeCell ref="C22:D22"/>
    <mergeCell ref="G17:H17"/>
    <mergeCell ref="I17:J17"/>
    <mergeCell ref="K17:L17"/>
    <mergeCell ref="G12:H12"/>
    <mergeCell ref="I12:J12"/>
    <mergeCell ref="K12:L12"/>
    <mergeCell ref="I5:J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" orientation="landscape" useFirstPageNumber="1" r:id="rId1"/>
  <headerFooter>
    <oddFooter>&amp;L&amp;P&amp;R&amp;G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18">
    <tabColor rgb="FF92D050"/>
  </sheetPr>
  <dimension ref="A1:CR106"/>
  <sheetViews>
    <sheetView view="pageBreakPreview" zoomScale="70" zoomScaleNormal="85" zoomScaleSheetLayoutView="70" zoomScalePageLayoutView="8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Q18" sqref="Q18"/>
    </sheetView>
  </sheetViews>
  <sheetFormatPr defaultColWidth="8.85546875" defaultRowHeight="15"/>
  <cols>
    <col min="1" max="1" width="4.7109375" style="236" customWidth="1"/>
    <col min="2" max="5" width="11.7109375" style="236" customWidth="1"/>
    <col min="6" max="6" width="11.7109375" style="2" customWidth="1"/>
    <col min="7" max="7" width="27.28515625" style="236" customWidth="1"/>
    <col min="8" max="8" width="28" style="236" customWidth="1"/>
    <col min="9" max="9" width="12.7109375" style="236" customWidth="1"/>
    <col min="10" max="10" width="12.7109375" style="471" customWidth="1"/>
    <col min="11" max="11" width="12.7109375" style="236" customWidth="1"/>
    <col min="12" max="12" width="9.85546875" style="815" customWidth="1"/>
    <col min="13" max="16384" width="8.85546875" style="236"/>
  </cols>
  <sheetData>
    <row r="1" spans="1:96" s="272" customFormat="1" ht="18.75" customHeight="1">
      <c r="B1" s="1026" t="s">
        <v>307</v>
      </c>
      <c r="F1" s="2"/>
      <c r="G1" s="276" t="str">
        <f>IFERROR(MATCH(G$5,#REF!,0)-2,"")</f>
        <v/>
      </c>
      <c r="H1" s="302" t="str">
        <f>IFERROR(MATCH(H$5,#REF!,0)-2,"")</f>
        <v/>
      </c>
      <c r="I1" s="302" t="str">
        <f>IFERROR(MATCH(I$5,#REF!,0)-2,"")</f>
        <v/>
      </c>
      <c r="J1" s="305"/>
      <c r="K1" s="302" t="str">
        <f>IFERROR(MATCH(K$5,#REF!,0)-2,"")</f>
        <v/>
      </c>
      <c r="L1" s="815"/>
    </row>
    <row r="2" spans="1:96" s="380" customFormat="1" ht="18" customHeight="1">
      <c r="A2" s="379"/>
      <c r="D2" s="2192"/>
      <c r="F2" s="4"/>
      <c r="G2" s="24"/>
      <c r="H2" s="24"/>
      <c r="I2" s="24"/>
      <c r="J2" s="24"/>
      <c r="K2" s="24"/>
      <c r="L2" s="815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</row>
    <row r="3" spans="1:96" ht="84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</row>
    <row r="4" spans="1:96">
      <c r="A4" s="13"/>
      <c r="B4" s="41" t="s">
        <v>54</v>
      </c>
      <c r="C4" s="235"/>
      <c r="D4" s="235"/>
      <c r="E4" s="235"/>
      <c r="F4" s="6"/>
      <c r="G4" s="235"/>
      <c r="H4" s="235"/>
      <c r="I4" s="235"/>
      <c r="J4" s="1072"/>
      <c r="K4" s="235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</row>
    <row r="5" spans="1:96" s="372" customFormat="1" ht="30" customHeight="1">
      <c r="A5" s="3320" t="s">
        <v>1</v>
      </c>
      <c r="B5" s="3320"/>
      <c r="C5" s="3320"/>
      <c r="D5" s="680" t="s">
        <v>259</v>
      </c>
      <c r="E5" s="680" t="s">
        <v>44</v>
      </c>
      <c r="F5" s="680" t="s">
        <v>34</v>
      </c>
      <c r="G5" s="691" t="s">
        <v>679</v>
      </c>
      <c r="H5" s="691" t="s">
        <v>680</v>
      </c>
      <c r="I5" s="3309" t="s">
        <v>681</v>
      </c>
      <c r="J5" s="3310"/>
      <c r="K5" s="3311"/>
      <c r="L5" s="816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  <c r="AA5" s="689"/>
      <c r="AB5" s="689"/>
      <c r="AC5" s="689"/>
      <c r="AD5" s="689"/>
      <c r="AE5" s="689"/>
      <c r="AF5" s="689"/>
      <c r="AG5" s="689"/>
      <c r="AH5" s="689"/>
      <c r="AI5" s="689"/>
      <c r="AJ5" s="689"/>
      <c r="AK5" s="689"/>
      <c r="AL5" s="689"/>
      <c r="AM5" s="689"/>
      <c r="AN5" s="689"/>
    </row>
    <row r="6" spans="1:96" s="235" customFormat="1" ht="30" customHeight="1">
      <c r="A6" s="3306" t="s">
        <v>25</v>
      </c>
      <c r="B6" s="2931" t="s">
        <v>1292</v>
      </c>
      <c r="C6" s="2931"/>
      <c r="D6" s="2048" t="s">
        <v>32</v>
      </c>
      <c r="E6" s="2048" t="s">
        <v>31</v>
      </c>
      <c r="F6" s="2049" t="s">
        <v>0</v>
      </c>
      <c r="G6" s="2063">
        <f>'Полотна база'!AL10*(1+скидки_наценки!$B$29)*скидки_наценки!$D$13*скидки_наценки!$F$13/скидки_наценки!$B$4</f>
        <v>32510</v>
      </c>
      <c r="H6" s="2063">
        <f>'Полотна база'!AM10*(1+скидки_наценки!$B$29)*скидки_наценки!$D$13*скидки_наценки!$F$13/скидки_наценки!$B$4</f>
        <v>33310</v>
      </c>
      <c r="I6" s="3312">
        <f>'Полотна база'!AN10*(1+скидки_наценки!$B$29)*скидки_наценки!$D$13*скидки_наценки!$F$13/скидки_наценки!$B$4</f>
        <v>34110</v>
      </c>
      <c r="J6" s="3312"/>
      <c r="K6" s="3312"/>
      <c r="L6" s="815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</row>
    <row r="7" spans="1:96" s="235" customFormat="1" ht="30" customHeight="1">
      <c r="A7" s="3306"/>
      <c r="B7" s="2932" t="s">
        <v>1290</v>
      </c>
      <c r="C7" s="2932"/>
      <c r="D7" s="2028" t="s">
        <v>32</v>
      </c>
      <c r="E7" s="2028" t="s">
        <v>31</v>
      </c>
      <c r="F7" s="2027" t="s">
        <v>0</v>
      </c>
      <c r="G7" s="2047">
        <f>'Полотна база'!AL11*(1+скидки_наценки!$B$29)*скидки_наценки!$D$13*скидки_наценки!$F$13/скидки_наценки!$B$4</f>
        <v>34950</v>
      </c>
      <c r="H7" s="2047">
        <f>'Полотна база'!AM11*(1+скидки_наценки!$B$29)*скидки_наценки!$D$13*скидки_наценки!$F$13/скидки_наценки!$B$4</f>
        <v>35750</v>
      </c>
      <c r="I7" s="3313">
        <f>'Полотна база'!AN11*(1+скидки_наценки!$B$29)*скидки_наценки!$D$13*скидки_наценки!$F$13/скидки_наценки!$B$4</f>
        <v>36550</v>
      </c>
      <c r="J7" s="3313"/>
      <c r="K7" s="3313"/>
      <c r="L7" s="815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</row>
    <row r="8" spans="1:96" s="1067" customFormat="1" ht="30" customHeight="1">
      <c r="A8" s="3306"/>
      <c r="B8" s="2931" t="s">
        <v>1841</v>
      </c>
      <c r="C8" s="2931"/>
      <c r="D8" s="2048" t="s">
        <v>32</v>
      </c>
      <c r="E8" s="2048" t="s">
        <v>31</v>
      </c>
      <c r="F8" s="2049" t="s">
        <v>0</v>
      </c>
      <c r="G8" s="2046">
        <f>'Полотна база'!AL13*(1+скидки_наценки!$B$29)*скидки_наценки!$D$13*скидки_наценки!$F$13/скидки_наценки!$B$4</f>
        <v>38100</v>
      </c>
      <c r="H8" s="2046">
        <f>'Полотна база'!AM13*(1+скидки_наценки!$B$29)*скидки_наценки!$D$13*скидки_наценки!$F$13/скидки_наценки!$B$4</f>
        <v>38900</v>
      </c>
      <c r="I8" s="3103">
        <f>'Полотна база'!AN13*(1+скидки_наценки!$B$29)*скидки_наценки!$D$13*скидки_наценки!$F$13/скидки_наценки!$B$4</f>
        <v>39700</v>
      </c>
      <c r="J8" s="3103"/>
      <c r="K8" s="3103"/>
      <c r="L8" s="815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</row>
    <row r="9" spans="1:96" s="289" customFormat="1" ht="18" customHeight="1">
      <c r="G9" s="114"/>
      <c r="J9" s="471"/>
      <c r="L9" s="815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</row>
    <row r="10" spans="1:96" ht="15" customHeight="1">
      <c r="A10" s="235"/>
      <c r="B10" s="17" t="s">
        <v>19</v>
      </c>
      <c r="C10" s="235"/>
      <c r="D10" s="235"/>
      <c r="E10" s="235"/>
      <c r="F10" s="6"/>
      <c r="G10" s="3"/>
      <c r="H10" s="208"/>
      <c r="I10" s="208"/>
      <c r="J10" s="208"/>
      <c r="K10" s="3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</row>
    <row r="11" spans="1:96" s="372" customFormat="1" ht="15" customHeight="1">
      <c r="A11" s="3076" t="s">
        <v>2</v>
      </c>
      <c r="B11" s="3076"/>
      <c r="C11" s="3076"/>
      <c r="D11" s="3076"/>
      <c r="E11" s="3076"/>
      <c r="F11" s="3076"/>
      <c r="G11" s="691" t="s">
        <v>679</v>
      </c>
      <c r="H11" s="691" t="s">
        <v>680</v>
      </c>
      <c r="I11" s="3309" t="s">
        <v>681</v>
      </c>
      <c r="J11" s="3310"/>
      <c r="K11" s="3311"/>
      <c r="L11" s="816"/>
      <c r="M11" s="689"/>
      <c r="N11" s="689"/>
      <c r="O11" s="689"/>
      <c r="P11" s="689"/>
      <c r="Q11" s="689"/>
      <c r="R11" s="689"/>
      <c r="S11" s="689"/>
      <c r="T11" s="689"/>
      <c r="U11" s="689"/>
      <c r="V11" s="689"/>
      <c r="W11" s="689"/>
      <c r="X11" s="689"/>
      <c r="Y11" s="689"/>
      <c r="Z11" s="689"/>
      <c r="AA11" s="689"/>
      <c r="AB11" s="689"/>
      <c r="AC11" s="689"/>
      <c r="AD11" s="689"/>
      <c r="AE11" s="689"/>
      <c r="AF11" s="689"/>
      <c r="AG11" s="689"/>
      <c r="AH11" s="689"/>
      <c r="AI11" s="689"/>
      <c r="AJ11" s="689"/>
      <c r="AK11" s="689"/>
      <c r="AL11" s="689"/>
      <c r="AM11" s="689"/>
      <c r="AN11" s="689"/>
    </row>
    <row r="12" spans="1:96" ht="15" customHeight="1">
      <c r="A12" s="3276" t="s">
        <v>242</v>
      </c>
      <c r="B12" s="3276"/>
      <c r="C12" s="3276"/>
      <c r="D12" s="3276"/>
      <c r="E12" s="3276"/>
      <c r="F12" s="3276"/>
      <c r="G12" s="696" t="s">
        <v>3</v>
      </c>
      <c r="H12" s="2531" t="s">
        <v>6</v>
      </c>
      <c r="I12" s="3314" t="s">
        <v>6</v>
      </c>
      <c r="J12" s="3315"/>
      <c r="K12" s="3316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</row>
    <row r="13" spans="1:96" ht="15" customHeight="1">
      <c r="A13" s="3287" t="s">
        <v>1170</v>
      </c>
      <c r="B13" s="3210"/>
      <c r="C13" s="3288"/>
      <c r="D13" s="3278" t="s">
        <v>869</v>
      </c>
      <c r="E13" s="3279"/>
      <c r="F13" s="3280"/>
      <c r="G13" s="684" t="s">
        <v>3</v>
      </c>
      <c r="H13" s="2526">
        <v>0.01</v>
      </c>
      <c r="I13" s="3317">
        <v>0.01</v>
      </c>
      <c r="J13" s="3318"/>
      <c r="K13" s="3319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</row>
    <row r="14" spans="1:96" s="471" customFormat="1" ht="15" customHeight="1">
      <c r="A14" s="3212"/>
      <c r="B14" s="3213"/>
      <c r="C14" s="3214"/>
      <c r="D14" s="3221" t="s">
        <v>868</v>
      </c>
      <c r="E14" s="3222"/>
      <c r="F14" s="3223"/>
      <c r="G14" s="306" t="s">
        <v>3</v>
      </c>
      <c r="H14" s="2527">
        <v>0.02</v>
      </c>
      <c r="I14" s="3327">
        <v>0.02</v>
      </c>
      <c r="J14" s="3328"/>
      <c r="K14" s="3329"/>
      <c r="L14" s="815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</row>
    <row r="15" spans="1:96" s="471" customFormat="1" ht="15" customHeight="1">
      <c r="A15" s="3215"/>
      <c r="B15" s="3216"/>
      <c r="C15" s="3217"/>
      <c r="D15" s="3224" t="s">
        <v>870</v>
      </c>
      <c r="E15" s="3225"/>
      <c r="F15" s="3226"/>
      <c r="G15" s="695" t="s">
        <v>3</v>
      </c>
      <c r="H15" s="2532">
        <v>0.02</v>
      </c>
      <c r="I15" s="3321">
        <v>0.02</v>
      </c>
      <c r="J15" s="3322"/>
      <c r="K15" s="3323"/>
      <c r="L15" s="815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</row>
    <row r="16" spans="1:96" s="64" customFormat="1" ht="15" customHeight="1">
      <c r="A16" s="3277" t="s">
        <v>874</v>
      </c>
      <c r="B16" s="3025"/>
      <c r="C16" s="3003"/>
      <c r="D16" s="3281" t="s">
        <v>868</v>
      </c>
      <c r="E16" s="3282"/>
      <c r="F16" s="3283"/>
      <c r="G16" s="1345">
        <f>Стекла_база!H15*(1+скидки_наценки!$B$32)*скидки_наценки!$D$13*скидки_наценки!$F$13/скидки_наценки!$B$4</f>
        <v>10000</v>
      </c>
      <c r="H16" s="1345">
        <f>Стекла_база!H16*(1+скидки_наценки!$B$32)*скидки_наценки!$D$13*скидки_наценки!$F$13/скидки_наценки!$B$4</f>
        <v>6750</v>
      </c>
      <c r="I16" s="3324"/>
      <c r="J16" s="3325"/>
      <c r="K16" s="3326"/>
      <c r="L16" s="815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  <c r="AA16" s="360"/>
      <c r="AB16" s="360"/>
      <c r="AC16" s="360"/>
      <c r="AD16" s="360"/>
      <c r="AE16" s="360"/>
      <c r="AF16" s="360"/>
      <c r="AG16" s="360"/>
      <c r="AH16" s="360"/>
      <c r="AI16" s="360"/>
      <c r="AJ16" s="360"/>
      <c r="AK16" s="360"/>
      <c r="AL16" s="360"/>
      <c r="AM16" s="360"/>
      <c r="AN16" s="360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</row>
    <row r="17" spans="1:96" s="64" customFormat="1" ht="15" customHeight="1">
      <c r="A17" s="3006"/>
      <c r="B17" s="3026"/>
      <c r="C17" s="3007"/>
      <c r="D17" s="3284" t="s">
        <v>1389</v>
      </c>
      <c r="E17" s="3285"/>
      <c r="F17" s="3286"/>
      <c r="G17" s="1348">
        <f>Стекла_база!I15*(1+скидки_наценки!$B$32)*скидки_наценки!$D$13*скидки_наценки!$F$13/скидки_наценки!$B$4</f>
        <v>13000</v>
      </c>
      <c r="H17" s="1348">
        <f>Стекла_база!I16*(1+скидки_наценки!$B$32)*скидки_наценки!$D$13*скидки_наценки!$F$13/скидки_наценки!$B$4</f>
        <v>8800</v>
      </c>
      <c r="I17" s="3330"/>
      <c r="J17" s="3331"/>
      <c r="K17" s="3332"/>
      <c r="L17" s="815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60"/>
      <c r="AA17" s="360"/>
      <c r="AB17" s="360"/>
      <c r="AC17" s="360"/>
      <c r="AD17" s="360"/>
      <c r="AE17" s="360"/>
      <c r="AF17" s="360"/>
      <c r="AG17" s="360"/>
      <c r="AH17" s="360"/>
      <c r="AI17" s="360"/>
      <c r="AJ17" s="360"/>
      <c r="AK17" s="360"/>
      <c r="AL17" s="360"/>
      <c r="AM17" s="360"/>
      <c r="AN17" s="360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  <c r="CE17" s="251"/>
      <c r="CF17" s="251"/>
      <c r="CG17" s="251"/>
      <c r="CH17" s="251"/>
      <c r="CI17" s="251"/>
      <c r="CJ17" s="251"/>
      <c r="CK17" s="251"/>
      <c r="CL17" s="251"/>
      <c r="CM17" s="251"/>
      <c r="CN17" s="251"/>
      <c r="CO17" s="251"/>
      <c r="CP17" s="251"/>
      <c r="CQ17" s="251"/>
      <c r="CR17" s="251"/>
    </row>
    <row r="18" spans="1:96" ht="18" customHeight="1">
      <c r="A18" s="32"/>
      <c r="B18" s="32"/>
      <c r="C18" s="32"/>
      <c r="D18" s="32"/>
      <c r="E18" s="32"/>
      <c r="F18" s="32"/>
      <c r="G18" s="27"/>
      <c r="H18" s="27"/>
      <c r="I18" s="27"/>
      <c r="J18" s="27"/>
      <c r="K18" s="27"/>
      <c r="M18" s="360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</row>
    <row r="19" spans="1:96" ht="90" customHeight="1">
      <c r="A19" s="16"/>
      <c r="B19" s="18"/>
      <c r="C19" s="15" t="s">
        <v>202</v>
      </c>
      <c r="D19" s="15"/>
      <c r="E19" s="15"/>
      <c r="F19" s="15"/>
      <c r="G19" s="15"/>
      <c r="H19" s="15"/>
      <c r="I19" s="15"/>
      <c r="J19" s="15"/>
      <c r="K19" s="15"/>
      <c r="M19" s="480"/>
      <c r="N19" s="480"/>
      <c r="O19" s="480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80"/>
      <c r="AD19" s="480"/>
      <c r="AE19" s="480"/>
      <c r="AF19" s="480"/>
      <c r="AG19" s="480"/>
      <c r="AH19" s="480"/>
      <c r="AI19" s="480"/>
      <c r="AJ19" s="480"/>
      <c r="AK19" s="480"/>
      <c r="AL19" s="480"/>
      <c r="AM19" s="480"/>
      <c r="AN19" s="480"/>
    </row>
    <row r="20" spans="1:96">
      <c r="A20" s="235"/>
      <c r="B20" s="17" t="s">
        <v>24</v>
      </c>
      <c r="C20" s="235"/>
      <c r="D20" s="235"/>
      <c r="E20" s="235"/>
      <c r="F20" s="6"/>
      <c r="G20" s="235"/>
      <c r="H20" s="235"/>
      <c r="I20" s="235"/>
      <c r="J20" s="1072"/>
      <c r="K20" s="235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80"/>
      <c r="AD20" s="480"/>
      <c r="AE20" s="480"/>
      <c r="AF20" s="480"/>
      <c r="AG20" s="480"/>
      <c r="AH20" s="480"/>
      <c r="AI20" s="480"/>
      <c r="AJ20" s="480"/>
      <c r="AK20" s="480"/>
      <c r="AL20" s="480"/>
      <c r="AM20" s="480"/>
      <c r="AN20" s="480"/>
    </row>
    <row r="21" spans="1:96" ht="15" customHeight="1">
      <c r="A21" s="3011" t="s">
        <v>36</v>
      </c>
      <c r="B21" s="3013"/>
      <c r="C21" s="3011" t="s">
        <v>166</v>
      </c>
      <c r="D21" s="3013"/>
      <c r="E21" s="3289" t="s">
        <v>37</v>
      </c>
      <c r="F21" s="3289" t="s">
        <v>35</v>
      </c>
      <c r="G21" s="1079" t="s">
        <v>679</v>
      </c>
      <c r="H21" s="1079" t="s">
        <v>680</v>
      </c>
      <c r="I21" s="3104" t="s">
        <v>681</v>
      </c>
      <c r="J21" s="3104"/>
      <c r="K21" s="3104"/>
      <c r="L21" s="817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</row>
    <row r="22" spans="1:96" s="272" customFormat="1" ht="15" customHeight="1">
      <c r="A22" s="3126"/>
      <c r="B22" s="3127"/>
      <c r="C22" s="3126"/>
      <c r="D22" s="3127"/>
      <c r="E22" s="3290"/>
      <c r="F22" s="3290"/>
      <c r="G22" s="1079" t="s">
        <v>21</v>
      </c>
      <c r="H22" s="1079" t="s">
        <v>21</v>
      </c>
      <c r="I22" s="1079" t="s">
        <v>21</v>
      </c>
      <c r="J22" s="1079" t="s">
        <v>22</v>
      </c>
      <c r="K22" s="1079" t="s">
        <v>1066</v>
      </c>
      <c r="L22" s="817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480"/>
      <c r="AC22" s="480"/>
      <c r="AD22" s="480"/>
      <c r="AE22" s="480"/>
      <c r="AF22" s="480"/>
      <c r="AG22" s="480"/>
      <c r="AH22" s="480"/>
      <c r="AI22" s="480"/>
      <c r="AJ22" s="480"/>
      <c r="AK22" s="480"/>
      <c r="AL22" s="480"/>
      <c r="AM22" s="480"/>
      <c r="AN22" s="480"/>
    </row>
    <row r="23" spans="1:96" s="235" customFormat="1" ht="15" customHeight="1">
      <c r="A23" s="3014"/>
      <c r="B23" s="3016"/>
      <c r="C23" s="3014"/>
      <c r="D23" s="3016"/>
      <c r="E23" s="3291"/>
      <c r="F23" s="3291"/>
      <c r="G23" s="124" t="s">
        <v>162</v>
      </c>
      <c r="H23" s="124" t="s">
        <v>177</v>
      </c>
      <c r="I23" s="124" t="s">
        <v>177</v>
      </c>
      <c r="J23" s="124" t="s">
        <v>177</v>
      </c>
      <c r="K23" s="124" t="s">
        <v>177</v>
      </c>
      <c r="L23" s="817"/>
      <c r="M23" s="480"/>
      <c r="N23" s="480"/>
      <c r="O23" s="480"/>
      <c r="P23" s="480"/>
      <c r="Q23" s="480"/>
      <c r="R23" s="480"/>
      <c r="S23" s="480"/>
      <c r="T23" s="480"/>
      <c r="U23" s="480"/>
      <c r="V23" s="480"/>
      <c r="W23" s="480"/>
      <c r="X23" s="480"/>
      <c r="Y23" s="480"/>
      <c r="Z23" s="480"/>
      <c r="AA23" s="480"/>
      <c r="AB23" s="480"/>
      <c r="AC23" s="480"/>
      <c r="AD23" s="480"/>
      <c r="AE23" s="480"/>
      <c r="AF23" s="480"/>
      <c r="AG23" s="480"/>
      <c r="AH23" s="480"/>
      <c r="AI23" s="480"/>
      <c r="AJ23" s="480"/>
      <c r="AK23" s="480"/>
      <c r="AL23" s="480"/>
      <c r="AM23" s="480"/>
      <c r="AN23" s="480"/>
    </row>
    <row r="24" spans="1:96" s="235" customFormat="1" ht="25.15" customHeight="1">
      <c r="A24" s="3036" t="s">
        <v>30</v>
      </c>
      <c r="B24" s="3037"/>
      <c r="C24" s="3042" t="s">
        <v>1062</v>
      </c>
      <c r="D24" s="3043"/>
      <c r="E24" s="116" t="s">
        <v>170</v>
      </c>
      <c r="F24" s="42" t="s">
        <v>3</v>
      </c>
      <c r="G24" s="728">
        <f>(Стекла_база!C79+Стекла_база!I79)*(1+скидки_наценки!$B$32)*скидки_наценки!$D$13*скидки_наценки!$F$13/скидки_наценки!$B$4</f>
        <v>2330</v>
      </c>
      <c r="H24" s="728">
        <f>Стекла_база!$C$80*(1+скидки_наценки!$B$32)*скидки_наценки!$D$13*скидки_наценки!$F$13/скидки_наценки!$B$4</f>
        <v>1050</v>
      </c>
      <c r="I24" s="728">
        <f>Стекла_база!$C$80*(1+скидки_наценки!$B$32)*скидки_наценки!$D$13*скидки_наценки!$F$13/скидки_наценки!$B$4</f>
        <v>1050</v>
      </c>
      <c r="J24" s="728">
        <f>Стекла_база!C82*(1+скидки_наценки!$B$32)*скидки_наценки!$D$13*скидки_наценки!$F$13/скидки_наценки!$B$4</f>
        <v>770</v>
      </c>
      <c r="K24" s="728">
        <f>Стекла_база!C83*(1+скидки_наценки!$B$32)*скидки_наценки!$D$13*скидки_наценки!$F$13/скидки_наценки!$B$4</f>
        <v>330</v>
      </c>
      <c r="L24" s="3333"/>
      <c r="M24" s="48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</row>
    <row r="25" spans="1:96" s="235" customFormat="1" ht="25.15" customHeight="1">
      <c r="A25" s="3038"/>
      <c r="B25" s="3039"/>
      <c r="C25" s="2917" t="s">
        <v>164</v>
      </c>
      <c r="D25" s="2918"/>
      <c r="E25" s="170" t="s">
        <v>171</v>
      </c>
      <c r="F25" s="167" t="s">
        <v>3</v>
      </c>
      <c r="G25" s="312">
        <f>(Стекла_база!I79+Стекла_база!D79)*(1+скидки_наценки!$B$32)*скидки_наценки!$D$13*скидки_наценки!$F$13/скидки_наценки!$B$4</f>
        <v>2810</v>
      </c>
      <c r="H25" s="312">
        <f>(Стекла_база!$D$80)*(1+скидки_наценки!$B$32)*скидки_наценки!$D$13*скидки_наценки!$F$13/скидки_наценки!$B$4</f>
        <v>1365</v>
      </c>
      <c r="I25" s="1282">
        <f>(Стекла_база!$D$80)*(1+скидки_наценки!$B$32)*скидки_наценки!$D$13*скидки_наценки!$F$13/скидки_наценки!$B$4</f>
        <v>1365</v>
      </c>
      <c r="J25" s="1282">
        <f>(Стекла_база!D82)*(1+скидки_наценки!$B$32)*скидки_наценки!$D$13*скидки_наценки!$F$13/скидки_наценки!$B$4</f>
        <v>1010</v>
      </c>
      <c r="K25" s="1282">
        <f>(Стекла_база!D83)*(1+скидки_наценки!$B$32)*скидки_наценки!$D$13*скидки_наценки!$F$13/скидки_наценки!$B$4</f>
        <v>430</v>
      </c>
      <c r="L25" s="3333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</row>
    <row r="26" spans="1:96" s="235" customFormat="1" ht="25.15" customHeight="1">
      <c r="A26" s="3040"/>
      <c r="B26" s="3041"/>
      <c r="C26" s="3006" t="s">
        <v>165</v>
      </c>
      <c r="D26" s="3007"/>
      <c r="E26" s="234" t="s">
        <v>171</v>
      </c>
      <c r="F26" s="233" t="s">
        <v>3</v>
      </c>
      <c r="G26" s="277">
        <f>(Стекла_база!E79+Стекла_база!I79)*(1+скидки_наценки!$B$32)*скидки_наценки!$D$13*скидки_наценки!$F$13/скидки_наценки!$B$4</f>
        <v>3370</v>
      </c>
      <c r="H26" s="277">
        <f>(Стекла_база!$E$80)*(1+скидки_наценки!$B$32)*скидки_наценки!$D$13*скидки_наценки!$F$13/скидки_наценки!$B$4</f>
        <v>1735</v>
      </c>
      <c r="I26" s="277">
        <f>(Стекла_база!$E$80)*(1+скидки_наценки!$B$32)*скидки_наценки!$D$13*скидки_наценки!$F$13/скидки_наценки!$B$4</f>
        <v>1735</v>
      </c>
      <c r="J26" s="277">
        <f>(Стекла_база!E82)*(1+скидки_наценки!$B$32)*скидки_наценки!$D$13*скидки_наценки!$F$13/скидки_наценки!$B$4</f>
        <v>1280</v>
      </c>
      <c r="K26" s="277">
        <f>(Стекла_база!E83)*(1+скидки_наценки!$B$32)*скидки_наценки!$D$13*скидки_наценки!$F$13/скидки_наценки!$B$4</f>
        <v>550</v>
      </c>
      <c r="L26" s="3333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</row>
    <row r="27" spans="1:96" s="60" customFormat="1" ht="39" customHeight="1">
      <c r="A27" s="3156" t="s">
        <v>167</v>
      </c>
      <c r="B27" s="3157"/>
      <c r="C27" s="3262" t="s">
        <v>1059</v>
      </c>
      <c r="D27" s="3263"/>
      <c r="E27" s="162" t="s">
        <v>171</v>
      </c>
      <c r="F27" s="125" t="s">
        <v>3</v>
      </c>
      <c r="G27" s="311">
        <f>(Стекла_база!I79+Стекла_база!F79)*(1+скидки_наценки!$B$32)*скидки_наценки!$D$13*скидки_наценки!$F$13/скидки_наценки!$B$4</f>
        <v>3020</v>
      </c>
      <c r="H27" s="311">
        <f>Стекла_база!$F$80*(1+скидки_наценки!$B$32)*скидки_наценки!$D$13*скидки_наценки!$F$13/скидки_наценки!$B$4</f>
        <v>1505</v>
      </c>
      <c r="I27" s="311">
        <f>Стекла_база!$F$80*(1+скидки_наценки!$B$32)*скидки_наценки!$D$13*скидки_наценки!$F$13/скидки_наценки!$B$4</f>
        <v>1505</v>
      </c>
      <c r="J27" s="311">
        <f>Стекла_база!F83*(1+скидки_наценки!$B$32)*скидки_наценки!$D$13*скидки_наценки!$F$13/скидки_наценки!$B$4</f>
        <v>480</v>
      </c>
      <c r="K27" s="311">
        <f>Стекла_база!F83*(1+скидки_наценки!$B$32)*скидки_наценки!$D$13*скидки_наценки!$F$13/скидки_наценки!$B$4</f>
        <v>480</v>
      </c>
      <c r="L27" s="3333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</row>
    <row r="28" spans="1:96" s="20" customFormat="1" ht="30" customHeight="1">
      <c r="A28" s="3049" t="s">
        <v>169</v>
      </c>
      <c r="B28" s="3050"/>
      <c r="C28" s="3022" t="s">
        <v>168</v>
      </c>
      <c r="D28" s="3024"/>
      <c r="E28" s="234" t="s">
        <v>171</v>
      </c>
      <c r="F28" s="349" t="s">
        <v>886</v>
      </c>
      <c r="G28" s="310">
        <f>(Стекла_база!G79)*(1+скидки_наценки!$B$32)*скидки_наценки!$D$13*скидки_наценки!$F$13/скидки_наценки!$B$4</f>
        <v>2710</v>
      </c>
      <c r="H28" s="310">
        <f>Стекла_база!$G$80*(1+скидки_наценки!$B$32)*скидки_наценки!$D$13*скидки_наценки!$F$13/скидки_наценки!$B$4</f>
        <v>1775</v>
      </c>
      <c r="I28" s="310">
        <f>Стекла_база!$G$80*(1+скидки_наценки!$B$32)*скидки_наценки!$D$13*скидки_наценки!$F$13/скидки_наценки!$B$4</f>
        <v>1775</v>
      </c>
      <c r="J28" s="310">
        <f>Стекла_база!G83*(1+скидки_наценки!$B$32)*скидки_наценки!$D$13*скидки_наценки!$F$13/скидки_наценки!$B$4</f>
        <v>560</v>
      </c>
      <c r="K28" s="310">
        <f>Стекла_база!G83*(1+скидки_наценки!$B$32)*скидки_наценки!$D$13*скидки_наценки!$F$13/скидки_наценки!$B$4</f>
        <v>560</v>
      </c>
      <c r="L28" s="3333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</row>
    <row r="29" spans="1:96" s="235" customFormat="1" ht="12" hidden="1" customHeight="1">
      <c r="A29" s="3264" t="s">
        <v>191</v>
      </c>
      <c r="B29" s="3265"/>
      <c r="C29" s="3270" t="s">
        <v>1063</v>
      </c>
      <c r="D29" s="3265"/>
      <c r="E29" s="3254" t="s">
        <v>170</v>
      </c>
      <c r="F29" s="377" t="s">
        <v>3</v>
      </c>
      <c r="G29" s="283" t="s">
        <v>163</v>
      </c>
      <c r="H29" s="283" t="s">
        <v>163</v>
      </c>
      <c r="I29" s="283" t="s">
        <v>163</v>
      </c>
      <c r="J29" s="674"/>
      <c r="K29" s="674" t="s">
        <v>163</v>
      </c>
      <c r="L29" s="3333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</row>
    <row r="30" spans="1:96" s="235" customFormat="1" ht="19.899999999999999" hidden="1" customHeight="1">
      <c r="A30" s="3266"/>
      <c r="B30" s="3267"/>
      <c r="C30" s="3271"/>
      <c r="D30" s="3272"/>
      <c r="E30" s="3255"/>
      <c r="F30" s="122"/>
      <c r="G30" s="313" t="e">
        <f>CEILING(#REF!*(1+скидки_наценки!$B$32)*скидки_наценки!$D$13*скидки_наценки!$F$13/скидки_наценки!$B$4, 50)</f>
        <v>#REF!</v>
      </c>
      <c r="H30" s="313" t="e">
        <f>CEILING(#REF!*(1+скидки_наценки!$B$32)*скидки_наценки!$D$13*скидки_наценки!$F$13/скидки_наценки!$B$4, 50)</f>
        <v>#REF!</v>
      </c>
      <c r="I30" s="313" t="e">
        <f>CEILING(#REF!*(1+скидки_наценки!$B$32)*скидки_наценки!$D$13*скидки_наценки!$F$13/скидки_наценки!$B$4, 50)</f>
        <v>#REF!</v>
      </c>
      <c r="J30" s="313"/>
      <c r="K30" s="313" t="e">
        <f>CEILING(#REF!*(1+скидки_наценки!$B$32)*скидки_наценки!$D$13*скидки_наценки!$F$13/скидки_наценки!$B$4, 50)</f>
        <v>#REF!</v>
      </c>
      <c r="L30" s="3333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480"/>
      <c r="AG30" s="480"/>
      <c r="AH30" s="480"/>
      <c r="AI30" s="480"/>
      <c r="AJ30" s="480"/>
      <c r="AK30" s="480"/>
      <c r="AL30" s="480"/>
      <c r="AM30" s="480"/>
      <c r="AN30" s="480"/>
    </row>
    <row r="31" spans="1:96" s="60" customFormat="1" ht="19.899999999999999" hidden="1" customHeight="1">
      <c r="A31" s="3266"/>
      <c r="B31" s="3267"/>
      <c r="C31" s="3256" t="s">
        <v>1064</v>
      </c>
      <c r="D31" s="3257"/>
      <c r="E31" s="161" t="s">
        <v>171</v>
      </c>
      <c r="F31" s="160" t="s">
        <v>3</v>
      </c>
      <c r="G31" s="277" t="e">
        <f>CEILING(#REF!*(1+скидки_наценки!$B$32)*скидки_наценки!$D$13*скидки_наценки!$F$13/скидки_наценки!$B$4, 50)</f>
        <v>#REF!</v>
      </c>
      <c r="H31" s="277" t="e">
        <f>CEILING(#REF!*(1+скидки_наценки!$B$32)*скидки_наценки!$D$13*скидки_наценки!$F$13/скидки_наценки!$B$4, 50)</f>
        <v>#REF!</v>
      </c>
      <c r="I31" s="277" t="e">
        <f>CEILING(#REF!*(1+скидки_наценки!$B$32)*скидки_наценки!$D$13*скидки_наценки!$F$13/скидки_наценки!$B$4, 50)</f>
        <v>#REF!</v>
      </c>
      <c r="J31" s="277"/>
      <c r="K31" s="277" t="e">
        <f>CEILING(#REF!*(1+скидки_наценки!$B$32)*скидки_наценки!$D$13*скидки_наценки!$F$13/скидки_наценки!$B$4, 50)</f>
        <v>#REF!</v>
      </c>
      <c r="L31" s="3333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480"/>
      <c r="AG31" s="480"/>
      <c r="AH31" s="480"/>
      <c r="AI31" s="480"/>
      <c r="AJ31" s="480"/>
      <c r="AK31" s="480"/>
      <c r="AL31" s="480"/>
      <c r="AM31" s="480"/>
      <c r="AN31" s="480"/>
    </row>
    <row r="32" spans="1:96" s="60" customFormat="1" ht="19.899999999999999" hidden="1" customHeight="1">
      <c r="A32" s="3268"/>
      <c r="B32" s="3269"/>
      <c r="C32" s="3258" t="s">
        <v>1065</v>
      </c>
      <c r="D32" s="3259"/>
      <c r="E32" s="163" t="s">
        <v>171</v>
      </c>
      <c r="F32" s="378" t="s">
        <v>3</v>
      </c>
      <c r="G32" s="313" t="e">
        <f>CEILING(#REF!*(1+скидки_наценки!$B$32)*скидки_наценки!$D$13*скидки_наценки!$F$13/скидки_наценки!$B$4, 50)</f>
        <v>#REF!</v>
      </c>
      <c r="H32" s="313" t="e">
        <f>CEILING(#REF!*(1+скидки_наценки!$B$32)*скидки_наценки!$D$13*скидки_наценки!$F$13/скидки_наценки!$B$4, 50)</f>
        <v>#REF!</v>
      </c>
      <c r="I32" s="313" t="e">
        <f>CEILING(#REF!*(1+скидки_наценки!$B$32)*скидки_наценки!$D$13*скидки_наценки!$F$13/скидки_наценки!$B$4, 50)</f>
        <v>#REF!</v>
      </c>
      <c r="J32" s="313"/>
      <c r="K32" s="313" t="e">
        <f>CEILING(#REF!*(1+скидки_наценки!$B$32)*скидки_наценки!$D$13*скидки_наценки!$F$13/скидки_наценки!$B$4, 50)</f>
        <v>#REF!</v>
      </c>
      <c r="L32" s="3333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  <c r="AF32" s="480"/>
      <c r="AG32" s="480"/>
      <c r="AH32" s="480"/>
      <c r="AI32" s="480"/>
      <c r="AJ32" s="480"/>
      <c r="AK32" s="480"/>
      <c r="AL32" s="480"/>
      <c r="AM32" s="480"/>
      <c r="AN32" s="480"/>
    </row>
    <row r="33" spans="1:40" s="60" customFormat="1" ht="14.1" customHeight="1">
      <c r="A33" s="3260" t="s">
        <v>172</v>
      </c>
      <c r="B33" s="3261"/>
      <c r="C33" s="3261"/>
      <c r="D33" s="3261"/>
      <c r="E33" s="3261"/>
      <c r="F33" s="3261"/>
      <c r="G33" s="3261"/>
      <c r="H33" s="3261"/>
      <c r="I33" s="3261"/>
      <c r="J33" s="3125"/>
      <c r="K33" s="3261"/>
      <c r="L33" s="3333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  <c r="AF33" s="480"/>
      <c r="AG33" s="480"/>
      <c r="AH33" s="480"/>
      <c r="AI33" s="480"/>
      <c r="AJ33" s="480"/>
      <c r="AK33" s="480"/>
      <c r="AL33" s="480"/>
      <c r="AM33" s="480"/>
      <c r="AN33" s="480"/>
    </row>
    <row r="34" spans="1:40" s="20" customFormat="1" ht="19.899999999999999" customHeight="1">
      <c r="A34" s="3097" t="s">
        <v>178</v>
      </c>
      <c r="B34" s="3098"/>
      <c r="C34" s="3099" t="s">
        <v>304</v>
      </c>
      <c r="D34" s="3099"/>
      <c r="E34" s="3099"/>
      <c r="F34" s="3099"/>
      <c r="G34" s="297">
        <f>Стекла_база!N79*(1+скидки_наценки!$B$32)*скидки_наценки!$D$13*скидки_наценки!$F$13/скидки_наценки!$B$4</f>
        <v>750</v>
      </c>
      <c r="H34" s="297">
        <f>Стекла_база!$N$80*(1+скидки_наценки!$B$32)*скидки_наценки!$D$13*скидки_наценки!$F$13/скидки_наценки!$B$4</f>
        <v>550</v>
      </c>
      <c r="I34" s="297">
        <f>Стекла_база!$N$80*(1+скидки_наценки!$B$32)*скидки_наценки!$D$13*скидки_наценки!$F$13/скидки_наценки!$B$4</f>
        <v>550</v>
      </c>
      <c r="J34" s="297">
        <f>Стекла_база!N82*(1+скидки_наценки!$B$32)*скидки_наценки!$D$13*скидки_наценки!$F$13/скидки_наценки!$B$4</f>
        <v>400</v>
      </c>
      <c r="K34" s="297">
        <f>Стекла_база!N83*(1+скидки_наценки!$B$32)*скидки_наценки!$D$13*скидки_наценки!$F$13/скидки_наценки!$B$4</f>
        <v>200</v>
      </c>
      <c r="L34" s="3333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  <c r="AA34" s="480"/>
      <c r="AB34" s="480"/>
      <c r="AC34" s="480"/>
      <c r="AD34" s="480"/>
      <c r="AE34" s="480"/>
      <c r="AF34" s="480"/>
      <c r="AG34" s="480"/>
      <c r="AH34" s="480"/>
      <c r="AI34" s="480"/>
      <c r="AJ34" s="480"/>
      <c r="AK34" s="480"/>
      <c r="AL34" s="480"/>
      <c r="AM34" s="480"/>
      <c r="AN34" s="480"/>
    </row>
    <row r="35" spans="1:40" s="20" customFormat="1" ht="45" customHeight="1">
      <c r="A35" s="3051" t="s">
        <v>234</v>
      </c>
      <c r="B35" s="3253"/>
      <c r="C35" s="3053" t="s">
        <v>305</v>
      </c>
      <c r="D35" s="3053"/>
      <c r="E35" s="3053"/>
      <c r="F35" s="3053"/>
      <c r="G35" s="279"/>
      <c r="H35" s="279">
        <f>Стекла_база!$I$80*(1+скидки_наценки!$B$32)*скидки_наценки!$D$13*скидки_наценки!$F$13/скидки_наценки!$B$4</f>
        <v>520</v>
      </c>
      <c r="I35" s="279">
        <f>Стекла_база!$I$80*(1+скидки_наценки!$B$32)*скидки_наценки!$D$13*скидки_наценки!$F$13/скидки_наценки!$B$4</f>
        <v>520</v>
      </c>
      <c r="J35" s="279">
        <f>Стекла_база!I82*(1+скидки_наценки!$B$32)*скидки_наценки!$D$13*скидки_наценки!$F$13/скидки_наценки!$B$4</f>
        <v>370</v>
      </c>
      <c r="K35" s="279">
        <f>Стекла_база!M83*(1+скидки_наценки!$B$32)*скидки_наценки!$D$13*скидки_наценки!$F$13/скидки_наценки!$B$4</f>
        <v>320</v>
      </c>
      <c r="L35" s="3333"/>
      <c r="M35" s="480"/>
      <c r="N35" s="480"/>
      <c r="O35" s="480"/>
      <c r="P35" s="480"/>
      <c r="Q35" s="480"/>
      <c r="R35" s="480"/>
      <c r="S35" s="480"/>
      <c r="T35" s="480"/>
      <c r="U35" s="480"/>
      <c r="V35" s="480"/>
      <c r="W35" s="480"/>
      <c r="X35" s="480"/>
      <c r="Y35" s="480"/>
      <c r="Z35" s="480"/>
      <c r="AA35" s="480"/>
      <c r="AB35" s="480"/>
      <c r="AC35" s="480"/>
      <c r="AD35" s="480"/>
      <c r="AE35" s="480"/>
      <c r="AF35" s="480"/>
      <c r="AG35" s="480"/>
      <c r="AH35" s="480"/>
      <c r="AI35" s="480"/>
      <c r="AJ35" s="480"/>
      <c r="AK35" s="480"/>
      <c r="AL35" s="480"/>
      <c r="AM35" s="480"/>
      <c r="AN35" s="480"/>
    </row>
    <row r="36" spans="1:40" ht="15" customHeight="1">
      <c r="F36" s="236"/>
      <c r="G36" s="108"/>
      <c r="I36" s="108"/>
      <c r="J36" s="108"/>
      <c r="K36" s="108"/>
      <c r="M36" s="480"/>
      <c r="N36" s="480"/>
      <c r="O36" s="480"/>
      <c r="P36" s="480"/>
      <c r="Q36" s="480"/>
      <c r="R36" s="480"/>
      <c r="S36" s="480"/>
      <c r="T36" s="480"/>
      <c r="U36" s="480"/>
      <c r="V36" s="480"/>
      <c r="W36" s="480"/>
      <c r="X36" s="480"/>
      <c r="Y36" s="480"/>
      <c r="Z36" s="480"/>
      <c r="AA36" s="480"/>
      <c r="AB36" s="480"/>
      <c r="AC36" s="480"/>
      <c r="AD36" s="480"/>
      <c r="AE36" s="480"/>
      <c r="AF36" s="480"/>
      <c r="AG36" s="480"/>
      <c r="AH36" s="480"/>
      <c r="AI36" s="480"/>
      <c r="AJ36" s="480"/>
      <c r="AK36" s="480"/>
      <c r="AL36" s="480"/>
      <c r="AM36" s="480"/>
      <c r="AN36" s="480"/>
    </row>
    <row r="37" spans="1:40" ht="18" customHeight="1">
      <c r="B37" s="471" t="s">
        <v>1842</v>
      </c>
      <c r="F37" s="236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  <c r="AA37" s="480"/>
      <c r="AB37" s="480"/>
      <c r="AC37" s="480"/>
      <c r="AD37" s="480"/>
      <c r="AE37" s="480"/>
      <c r="AF37" s="480"/>
      <c r="AG37" s="480"/>
      <c r="AH37" s="480"/>
      <c r="AI37" s="480"/>
      <c r="AJ37" s="480"/>
      <c r="AK37" s="480"/>
      <c r="AL37" s="480"/>
      <c r="AM37" s="480"/>
      <c r="AN37" s="480"/>
    </row>
    <row r="38" spans="1:40" ht="18" customHeight="1">
      <c r="B38" s="44"/>
      <c r="C38" s="44"/>
      <c r="D38" s="44"/>
      <c r="E38" s="44"/>
      <c r="F38" s="236"/>
      <c r="I38" s="108"/>
      <c r="J38" s="108"/>
      <c r="M38" s="480"/>
      <c r="N38" s="480"/>
      <c r="O38" s="480"/>
      <c r="P38" s="480"/>
      <c r="Q38" s="480"/>
      <c r="R38" s="480"/>
      <c r="S38" s="480"/>
      <c r="T38" s="480"/>
      <c r="U38" s="480"/>
      <c r="V38" s="480"/>
      <c r="W38" s="480"/>
      <c r="X38" s="480"/>
      <c r="Y38" s="480"/>
      <c r="Z38" s="480"/>
      <c r="AA38" s="480"/>
      <c r="AB38" s="480"/>
      <c r="AC38" s="480"/>
      <c r="AD38" s="480"/>
      <c r="AE38" s="480"/>
      <c r="AF38" s="480"/>
      <c r="AG38" s="480"/>
      <c r="AH38" s="480"/>
      <c r="AI38" s="480"/>
      <c r="AJ38" s="480"/>
      <c r="AK38" s="480"/>
      <c r="AL38" s="480"/>
      <c r="AM38" s="480"/>
      <c r="AN38" s="480"/>
    </row>
    <row r="39" spans="1:40" ht="18" customHeight="1">
      <c r="B39" s="26"/>
      <c r="C39" s="44"/>
      <c r="D39" s="44"/>
      <c r="E39" s="44"/>
      <c r="F39" s="236"/>
      <c r="I39" s="2"/>
      <c r="J39" s="2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80"/>
      <c r="AI39" s="480"/>
      <c r="AJ39" s="480"/>
      <c r="AK39" s="480"/>
      <c r="AL39" s="480"/>
      <c r="AM39" s="480"/>
      <c r="AN39" s="480"/>
    </row>
    <row r="40" spans="1:40" ht="18" customHeight="1">
      <c r="B40" s="26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0"/>
      <c r="AC40" s="480"/>
      <c r="AD40" s="480"/>
      <c r="AE40" s="480"/>
      <c r="AF40" s="480"/>
      <c r="AG40" s="480"/>
      <c r="AH40" s="480"/>
      <c r="AI40" s="480"/>
      <c r="AJ40" s="480"/>
      <c r="AK40" s="480"/>
      <c r="AL40" s="480"/>
      <c r="AM40" s="480"/>
      <c r="AN40" s="480"/>
    </row>
    <row r="41" spans="1:40" ht="18" customHeight="1"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Z41" s="480"/>
      <c r="AA41" s="480"/>
      <c r="AB41" s="480"/>
      <c r="AC41" s="480"/>
      <c r="AD41" s="480"/>
      <c r="AE41" s="480"/>
      <c r="AF41" s="480"/>
      <c r="AG41" s="480"/>
      <c r="AH41" s="480"/>
      <c r="AI41" s="480"/>
      <c r="AJ41" s="480"/>
      <c r="AK41" s="480"/>
      <c r="AL41" s="480"/>
      <c r="AM41" s="480"/>
      <c r="AN41" s="480"/>
    </row>
    <row r="42" spans="1:40" ht="18" customHeight="1"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0"/>
      <c r="AC42" s="480"/>
      <c r="AD42" s="480"/>
      <c r="AE42" s="480"/>
      <c r="AF42" s="480"/>
      <c r="AG42" s="480"/>
      <c r="AH42" s="480"/>
      <c r="AI42" s="480"/>
      <c r="AJ42" s="480"/>
      <c r="AK42" s="480"/>
      <c r="AL42" s="480"/>
      <c r="AM42" s="480"/>
      <c r="AN42" s="480"/>
    </row>
    <row r="43" spans="1:40" ht="18" customHeight="1"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  <c r="AF43" s="480"/>
      <c r="AG43" s="480"/>
      <c r="AH43" s="480"/>
      <c r="AI43" s="480"/>
      <c r="AJ43" s="480"/>
      <c r="AK43" s="480"/>
      <c r="AL43" s="480"/>
      <c r="AM43" s="480"/>
      <c r="AN43" s="480"/>
    </row>
    <row r="44" spans="1:40" ht="18" customHeight="1"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  <c r="AF44" s="480"/>
      <c r="AG44" s="480"/>
      <c r="AH44" s="480"/>
      <c r="AI44" s="480"/>
      <c r="AJ44" s="480"/>
      <c r="AK44" s="480"/>
      <c r="AL44" s="480"/>
      <c r="AM44" s="480"/>
      <c r="AN44" s="480"/>
    </row>
    <row r="45" spans="1:40" ht="18" customHeight="1"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  <c r="AF45" s="480"/>
      <c r="AG45" s="480"/>
      <c r="AH45" s="480"/>
      <c r="AI45" s="480"/>
      <c r="AJ45" s="480"/>
      <c r="AK45" s="480"/>
      <c r="AL45" s="480"/>
      <c r="AM45" s="480"/>
      <c r="AN45" s="480"/>
    </row>
    <row r="46" spans="1:40" ht="18" customHeight="1"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0"/>
      <c r="AC46" s="480"/>
      <c r="AD46" s="480"/>
      <c r="AE46" s="480"/>
      <c r="AF46" s="480"/>
      <c r="AG46" s="480"/>
      <c r="AH46" s="480"/>
      <c r="AI46" s="480"/>
      <c r="AJ46" s="480"/>
      <c r="AK46" s="480"/>
      <c r="AL46" s="480"/>
      <c r="AM46" s="480"/>
      <c r="AN46" s="480"/>
    </row>
    <row r="47" spans="1:40" ht="18" customHeight="1"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0"/>
      <c r="Z47" s="480"/>
      <c r="AA47" s="480"/>
      <c r="AB47" s="480"/>
      <c r="AC47" s="480"/>
      <c r="AD47" s="480"/>
      <c r="AE47" s="480"/>
      <c r="AF47" s="480"/>
      <c r="AG47" s="480"/>
      <c r="AH47" s="480"/>
      <c r="AI47" s="480"/>
      <c r="AJ47" s="480"/>
      <c r="AK47" s="480"/>
      <c r="AL47" s="480"/>
      <c r="AM47" s="480"/>
      <c r="AN47" s="480"/>
    </row>
    <row r="48" spans="1:40" ht="18" customHeight="1">
      <c r="M48" s="480"/>
      <c r="N48" s="480"/>
      <c r="O48" s="480"/>
      <c r="P48" s="480"/>
      <c r="Q48" s="480"/>
      <c r="R48" s="480"/>
      <c r="S48" s="480"/>
      <c r="T48" s="480"/>
      <c r="U48" s="480"/>
      <c r="V48" s="480"/>
      <c r="W48" s="480"/>
      <c r="X48" s="480"/>
      <c r="Y48" s="480"/>
      <c r="Z48" s="480"/>
      <c r="AA48" s="480"/>
      <c r="AB48" s="480"/>
      <c r="AC48" s="480"/>
      <c r="AD48" s="480"/>
      <c r="AE48" s="480"/>
      <c r="AF48" s="480"/>
      <c r="AG48" s="480"/>
      <c r="AH48" s="480"/>
      <c r="AI48" s="480"/>
      <c r="AJ48" s="480"/>
      <c r="AK48" s="480"/>
      <c r="AL48" s="480"/>
      <c r="AM48" s="480"/>
      <c r="AN48" s="480"/>
    </row>
    <row r="49" spans="1:40" ht="18" customHeight="1"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  <c r="X49" s="480"/>
      <c r="Y49" s="480"/>
      <c r="Z49" s="480"/>
      <c r="AA49" s="480"/>
      <c r="AB49" s="480"/>
      <c r="AC49" s="480"/>
      <c r="AD49" s="480"/>
      <c r="AE49" s="480"/>
      <c r="AF49" s="480"/>
      <c r="AG49" s="480"/>
      <c r="AH49" s="480"/>
      <c r="AI49" s="480"/>
      <c r="AJ49" s="480"/>
      <c r="AK49" s="480"/>
      <c r="AL49" s="480"/>
      <c r="AM49" s="480"/>
      <c r="AN49" s="480"/>
    </row>
    <row r="50" spans="1:40" ht="18" customHeight="1"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</row>
    <row r="51" spans="1:40" ht="18" customHeight="1"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</row>
    <row r="52" spans="1:40" ht="18" customHeight="1"/>
    <row r="53" spans="1:40" s="471" customFormat="1" ht="18" customHeight="1">
      <c r="F53" s="2"/>
      <c r="L53" s="815"/>
    </row>
    <row r="54" spans="1:40" s="471" customFormat="1" ht="18" customHeight="1">
      <c r="F54" s="2"/>
      <c r="L54" s="815"/>
    </row>
    <row r="55" spans="1:40" ht="18" customHeight="1"/>
    <row r="56" spans="1:40">
      <c r="A56" s="235"/>
      <c r="B56" s="17"/>
      <c r="C56" s="235"/>
      <c r="D56" s="235"/>
      <c r="E56" s="235"/>
      <c r="F56" s="6"/>
      <c r="G56" s="235"/>
      <c r="H56" s="235"/>
      <c r="I56" s="235"/>
      <c r="J56" s="1072"/>
      <c r="K56" s="235"/>
    </row>
    <row r="57" spans="1:40" ht="18" customHeight="1"/>
    <row r="58" spans="1:40" ht="18" customHeight="1"/>
    <row r="59" spans="1:40" ht="18" customHeight="1"/>
    <row r="60" spans="1:40" ht="18" customHeight="1"/>
    <row r="61" spans="1:40" ht="18" customHeight="1"/>
    <row r="62" spans="1:40" ht="18" customHeight="1"/>
    <row r="63" spans="1:40" ht="18" customHeight="1"/>
    <row r="64" spans="1:40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92" spans="2:2">
      <c r="B92" s="50"/>
    </row>
    <row r="106" spans="1:40" ht="15" customHeight="1">
      <c r="A106" s="26"/>
      <c r="C106" s="40"/>
      <c r="D106" s="40"/>
      <c r="E106" s="40"/>
      <c r="F106" s="40"/>
      <c r="G106" s="40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</row>
  </sheetData>
  <mergeCells count="49">
    <mergeCell ref="L24:L35"/>
    <mergeCell ref="A21:B23"/>
    <mergeCell ref="C21:D23"/>
    <mergeCell ref="E21:E23"/>
    <mergeCell ref="F21:F23"/>
    <mergeCell ref="A24:B26"/>
    <mergeCell ref="C24:D24"/>
    <mergeCell ref="C27:D27"/>
    <mergeCell ref="A28:B28"/>
    <mergeCell ref="C28:D28"/>
    <mergeCell ref="A35:B35"/>
    <mergeCell ref="C35:F35"/>
    <mergeCell ref="C31:D31"/>
    <mergeCell ref="C34:F34"/>
    <mergeCell ref="A29:B32"/>
    <mergeCell ref="A34:B34"/>
    <mergeCell ref="I21:K21"/>
    <mergeCell ref="I15:K15"/>
    <mergeCell ref="I16:K16"/>
    <mergeCell ref="A12:F12"/>
    <mergeCell ref="A13:C15"/>
    <mergeCell ref="A16:C17"/>
    <mergeCell ref="D16:F16"/>
    <mergeCell ref="I14:K14"/>
    <mergeCell ref="D14:F14"/>
    <mergeCell ref="D17:F17"/>
    <mergeCell ref="I17:K17"/>
    <mergeCell ref="D15:F15"/>
    <mergeCell ref="A33:K33"/>
    <mergeCell ref="C25:D25"/>
    <mergeCell ref="C26:D26"/>
    <mergeCell ref="C32:D32"/>
    <mergeCell ref="A27:B27"/>
    <mergeCell ref="E29:E30"/>
    <mergeCell ref="C29:D30"/>
    <mergeCell ref="I5:K5"/>
    <mergeCell ref="I6:K6"/>
    <mergeCell ref="I7:K7"/>
    <mergeCell ref="D13:F13"/>
    <mergeCell ref="I11:K11"/>
    <mergeCell ref="I12:K12"/>
    <mergeCell ref="I13:K13"/>
    <mergeCell ref="A11:F11"/>
    <mergeCell ref="A5:C5"/>
    <mergeCell ref="I8:K8"/>
    <mergeCell ref="B8:C8"/>
    <mergeCell ref="A6:A8"/>
    <mergeCell ref="B6:C6"/>
    <mergeCell ref="B7:C7"/>
  </mergeCells>
  <conditionalFormatting sqref="G19:K19">
    <cfRule type="cellIs" dxfId="23" priority="4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3" firstPageNumber="3" orientation="landscape" useFirstPageNumber="1" r:id="rId1"/>
  <headerFooter>
    <oddFooter>&amp;L&amp;P&amp;R&amp;G</oddFooter>
  </headerFooter>
  <rowBreaks count="1" manualBreakCount="1">
    <brk id="49" max="13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40">
    <tabColor rgb="FF92D050"/>
  </sheetPr>
  <dimension ref="A1:O7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9.140625" defaultRowHeight="12.75" outlineLevelCol="1"/>
  <cols>
    <col min="1" max="1" width="4.7109375" style="73" customWidth="1"/>
    <col min="2" max="6" width="11.7109375" style="73" customWidth="1"/>
    <col min="7" max="8" width="20.7109375" style="73" customWidth="1"/>
    <col min="9" max="9" width="20.7109375" style="73" customWidth="1" outlineLevel="1"/>
    <col min="10" max="10" width="20.7109375" style="73" customWidth="1"/>
    <col min="11" max="16384" width="9.140625" style="73"/>
  </cols>
  <sheetData>
    <row r="1" spans="1:15" s="1035" customFormat="1" ht="18" customHeight="1">
      <c r="A1" s="1048"/>
      <c r="B1" s="1034" t="s">
        <v>307</v>
      </c>
      <c r="C1" s="1034"/>
      <c r="D1" s="1029"/>
      <c r="E1" s="1048"/>
      <c r="F1" s="1048"/>
      <c r="G1" s="1048"/>
      <c r="H1" s="1048"/>
      <c r="I1" s="1048"/>
    </row>
    <row r="2" spans="1:15" s="380" customFormat="1" ht="18" customHeight="1">
      <c r="A2" s="379"/>
      <c r="B2" s="490"/>
      <c r="C2" s="490"/>
      <c r="D2" s="24"/>
      <c r="E2" s="24"/>
      <c r="F2" s="24"/>
      <c r="G2" s="381"/>
      <c r="H2" s="381"/>
      <c r="I2" s="381"/>
      <c r="J2" s="381"/>
      <c r="K2" s="381"/>
      <c r="L2" s="381"/>
      <c r="M2" s="381"/>
      <c r="N2" s="381"/>
      <c r="O2" s="381"/>
    </row>
    <row r="3" spans="1:15" ht="90" customHeight="1">
      <c r="A3" s="95"/>
      <c r="B3" s="752"/>
      <c r="C3" s="752"/>
      <c r="D3" s="2193"/>
      <c r="E3" s="2193"/>
      <c r="F3" s="71"/>
      <c r="G3" s="71"/>
      <c r="H3" s="71"/>
      <c r="I3" s="71"/>
      <c r="J3" s="159"/>
      <c r="K3" s="159"/>
      <c r="L3" s="159"/>
      <c r="M3" s="159"/>
    </row>
    <row r="4" spans="1:15" ht="18" customHeight="1">
      <c r="A4" s="95"/>
      <c r="B4" s="17" t="s">
        <v>54</v>
      </c>
      <c r="C4" s="71"/>
      <c r="D4" s="71"/>
      <c r="E4" s="71"/>
      <c r="F4" s="71"/>
      <c r="G4" s="71"/>
      <c r="H4" s="71"/>
      <c r="I4" s="71"/>
      <c r="J4" s="159"/>
      <c r="K4" s="159"/>
      <c r="L4" s="159"/>
      <c r="M4" s="159"/>
    </row>
    <row r="5" spans="1:15" s="84" customFormat="1" ht="30">
      <c r="A5" s="3029" t="s">
        <v>1</v>
      </c>
      <c r="B5" s="3030"/>
      <c r="C5" s="3031"/>
      <c r="D5" s="1095" t="s">
        <v>39</v>
      </c>
      <c r="E5" s="1095" t="s">
        <v>38</v>
      </c>
      <c r="F5" s="1095" t="s">
        <v>50</v>
      </c>
      <c r="G5" s="2075" t="s">
        <v>1724</v>
      </c>
      <c r="H5" s="1703" t="s">
        <v>1725</v>
      </c>
      <c r="I5" s="1703" t="s">
        <v>1726</v>
      </c>
      <c r="J5" s="436"/>
      <c r="K5" s="436"/>
      <c r="L5" s="436"/>
      <c r="M5" s="436"/>
    </row>
    <row r="6" spans="1:15" s="270" customFormat="1" ht="32.25" customHeight="1">
      <c r="A6" s="2884" t="s">
        <v>1952</v>
      </c>
      <c r="B6" s="2884"/>
      <c r="C6" s="2884"/>
      <c r="D6" s="2028" t="s">
        <v>1953</v>
      </c>
      <c r="E6" s="2024" t="s">
        <v>31</v>
      </c>
      <c r="F6" s="722" t="s">
        <v>0</v>
      </c>
      <c r="G6" s="1146">
        <f>'Полотна база'!AK9*(1+скидки_наценки!$B$30)*скидки_наценки!$D$13*скидки_наценки!$F$13/скидки_наценки!$B$4</f>
        <v>32900</v>
      </c>
      <c r="H6" s="1145">
        <f>G6</f>
        <v>32900</v>
      </c>
      <c r="I6" s="1145">
        <f>G6</f>
        <v>32900</v>
      </c>
      <c r="J6" s="23"/>
      <c r="K6" s="23"/>
      <c r="L6" s="23"/>
      <c r="M6" s="23"/>
    </row>
    <row r="7" spans="1:15" s="325" customFormat="1" ht="32.25" customHeight="1">
      <c r="A7" s="327"/>
      <c r="B7" s="324"/>
      <c r="C7" s="668"/>
      <c r="D7" s="123"/>
      <c r="E7" s="123"/>
      <c r="F7" s="328"/>
      <c r="G7" s="329"/>
      <c r="H7" s="329"/>
      <c r="I7" s="71"/>
      <c r="J7" s="23"/>
      <c r="K7" s="23"/>
      <c r="L7" s="23"/>
      <c r="M7" s="23"/>
    </row>
  </sheetData>
  <mergeCells count="2">
    <mergeCell ref="A5:C5"/>
    <mergeCell ref="A6:C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75" firstPageNumber="54" orientation="landscape" useFirstPageNumber="1" r:id="rId1"/>
  <headerFooter>
    <oddFooter>&amp;L&amp;P&amp;R&amp;26&amp;G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4"/>
  <dimension ref="A1:J328"/>
  <sheetViews>
    <sheetView tabSelected="1" view="pageBreakPreview" zoomScaleNormal="100" zoomScaleSheetLayoutView="100" workbookViewId="0">
      <pane ySplit="1" topLeftCell="A2" activePane="bottomLeft" state="frozen"/>
      <selection pane="bottomLeft" activeCell="F328" sqref="F328"/>
    </sheetView>
  </sheetViews>
  <sheetFormatPr defaultColWidth="9.140625" defaultRowHeight="15" outlineLevelRow="2"/>
  <cols>
    <col min="1" max="1" width="17.5703125" style="511" customWidth="1"/>
    <col min="2" max="2" width="11.85546875" style="522" customWidth="1"/>
    <col min="3" max="3" width="4.42578125" style="520" customWidth="1"/>
    <col min="4" max="4" width="31" style="113" customWidth="1"/>
    <col min="5" max="5" width="46.5703125" style="511" customWidth="1"/>
    <col min="6" max="6" width="28.42578125" style="113" customWidth="1"/>
    <col min="7" max="7" width="23.140625" style="113" customWidth="1"/>
    <col min="8" max="8" width="9" style="113" hidden="1" customWidth="1"/>
    <col min="9" max="9" width="10.28515625" style="113" hidden="1" customWidth="1"/>
    <col min="10" max="10" width="12.7109375" style="113" hidden="1" customWidth="1"/>
    <col min="11" max="16384" width="9.140625" style="113"/>
  </cols>
  <sheetData>
    <row r="1" spans="1:7" s="1052" customFormat="1">
      <c r="A1" s="1049"/>
      <c r="B1" s="1049" t="s">
        <v>307</v>
      </c>
      <c r="C1" s="1050"/>
      <c r="D1" s="1049"/>
      <c r="E1" s="1051"/>
    </row>
    <row r="3" spans="1:7">
      <c r="A3" s="490"/>
    </row>
    <row r="4" spans="1:7" ht="18.75">
      <c r="A4" s="528" t="s">
        <v>531</v>
      </c>
      <c r="C4" s="521"/>
    </row>
    <row r="5" spans="1:7" ht="15.75" thickBot="1"/>
    <row r="6" spans="1:7" s="523" customFormat="1" ht="27" customHeight="1">
      <c r="A6" s="635" t="s">
        <v>557</v>
      </c>
      <c r="B6" s="636" t="s">
        <v>532</v>
      </c>
      <c r="C6" s="637" t="s">
        <v>205</v>
      </c>
      <c r="D6" s="636" t="s">
        <v>569</v>
      </c>
      <c r="E6" s="636" t="s">
        <v>570</v>
      </c>
      <c r="F6" s="638" t="s">
        <v>533</v>
      </c>
    </row>
    <row r="7" spans="1:7" s="509" customFormat="1" ht="54.75" hidden="1" customHeight="1" outlineLevel="1">
      <c r="A7" s="2643" t="s">
        <v>573</v>
      </c>
      <c r="B7" s="661" t="s">
        <v>574</v>
      </c>
      <c r="C7" s="535"/>
      <c r="D7" s="2644" t="s">
        <v>560</v>
      </c>
      <c r="E7" s="2644"/>
      <c r="F7" s="2645"/>
      <c r="G7" s="536"/>
    </row>
    <row r="8" spans="1:7" s="509" customFormat="1" ht="26.25" hidden="1" customHeight="1" outlineLevel="1">
      <c r="A8" s="2643"/>
      <c r="B8" s="2642" t="s">
        <v>575</v>
      </c>
      <c r="C8" s="658">
        <v>1</v>
      </c>
      <c r="D8" s="510"/>
      <c r="E8" s="512" t="s">
        <v>558</v>
      </c>
      <c r="F8" s="630" t="s">
        <v>278</v>
      </c>
    </row>
    <row r="9" spans="1:7" s="509" customFormat="1" ht="26.25" hidden="1" customHeight="1" outlineLevel="1">
      <c r="A9" s="2643"/>
      <c r="B9" s="2642"/>
      <c r="C9" s="658">
        <v>2</v>
      </c>
      <c r="D9" s="510" t="s">
        <v>3</v>
      </c>
      <c r="E9" s="512" t="s">
        <v>559</v>
      </c>
      <c r="F9" s="630" t="s">
        <v>134</v>
      </c>
    </row>
    <row r="10" spans="1:7" s="509" customFormat="1" ht="39" hidden="1" customHeight="1" outlineLevel="1">
      <c r="A10" s="2643"/>
      <c r="B10" s="2642" t="s">
        <v>576</v>
      </c>
      <c r="C10" s="658">
        <v>3</v>
      </c>
      <c r="D10" s="548" t="s">
        <v>3</v>
      </c>
      <c r="E10" s="512" t="s">
        <v>535</v>
      </c>
      <c r="F10" s="630" t="s">
        <v>562</v>
      </c>
    </row>
    <row r="11" spans="1:7" s="509" customFormat="1" ht="15.75" hidden="1" customHeight="1" outlineLevel="1">
      <c r="A11" s="2643"/>
      <c r="B11" s="2642"/>
      <c r="C11" s="658">
        <v>4</v>
      </c>
      <c r="D11" s="510" t="s">
        <v>3</v>
      </c>
      <c r="E11" s="512" t="s">
        <v>561</v>
      </c>
      <c r="F11" s="630" t="s">
        <v>55</v>
      </c>
    </row>
    <row r="12" spans="1:7" ht="26.25" hidden="1" customHeight="1" outlineLevel="1">
      <c r="A12" s="2643"/>
      <c r="B12" s="2642"/>
      <c r="C12" s="524">
        <v>5</v>
      </c>
      <c r="D12" s="498" t="s">
        <v>3</v>
      </c>
      <c r="E12" s="512" t="s">
        <v>563</v>
      </c>
      <c r="F12" s="630" t="s">
        <v>134</v>
      </c>
      <c r="G12" s="466"/>
    </row>
    <row r="13" spans="1:7" ht="24.75" hidden="1" customHeight="1" outlineLevel="1">
      <c r="A13" s="2643" t="s">
        <v>585</v>
      </c>
      <c r="B13" s="661" t="s">
        <v>577</v>
      </c>
      <c r="C13" s="534"/>
      <c r="D13" s="2646" t="s">
        <v>564</v>
      </c>
      <c r="E13" s="2646"/>
      <c r="F13" s="2647"/>
      <c r="G13" s="466"/>
    </row>
    <row r="14" spans="1:7" ht="15.75" hidden="1" customHeight="1" outlineLevel="1">
      <c r="A14" s="2643"/>
      <c r="B14" s="2642" t="s">
        <v>548</v>
      </c>
      <c r="C14" s="524">
        <v>1</v>
      </c>
      <c r="D14" s="498" t="s">
        <v>629</v>
      </c>
      <c r="E14" s="498" t="s">
        <v>630</v>
      </c>
      <c r="F14" s="630" t="s">
        <v>222</v>
      </c>
      <c r="G14" s="466"/>
    </row>
    <row r="15" spans="1:7" ht="15.75" hidden="1" customHeight="1" outlineLevel="1">
      <c r="A15" s="2643"/>
      <c r="B15" s="2642"/>
      <c r="C15" s="524">
        <v>2</v>
      </c>
      <c r="D15" s="498" t="s">
        <v>631</v>
      </c>
      <c r="E15" s="498" t="s">
        <v>632</v>
      </c>
      <c r="F15" s="630" t="s">
        <v>549</v>
      </c>
      <c r="G15" s="466"/>
    </row>
    <row r="16" spans="1:7" ht="26.25" hidden="1" customHeight="1" outlineLevel="1">
      <c r="A16" s="2643"/>
      <c r="B16" s="661" t="s">
        <v>550</v>
      </c>
      <c r="C16" s="524">
        <v>3</v>
      </c>
      <c r="D16" s="512" t="s">
        <v>626</v>
      </c>
      <c r="E16" s="512" t="s">
        <v>552</v>
      </c>
      <c r="F16" s="630" t="s">
        <v>551</v>
      </c>
    </row>
    <row r="17" spans="1:6" ht="24.75" hidden="1" customHeight="1" outlineLevel="1">
      <c r="A17" s="2643"/>
      <c r="B17" s="661" t="s">
        <v>553</v>
      </c>
      <c r="C17" s="524">
        <v>4</v>
      </c>
      <c r="D17" s="498" t="s">
        <v>3</v>
      </c>
      <c r="E17" s="512" t="s">
        <v>554</v>
      </c>
      <c r="F17" s="630" t="s">
        <v>286</v>
      </c>
    </row>
    <row r="18" spans="1:6" ht="15.75" hidden="1" customHeight="1" outlineLevel="1">
      <c r="A18" s="2643"/>
      <c r="B18" s="2642" t="s">
        <v>555</v>
      </c>
      <c r="C18" s="524">
        <v>5</v>
      </c>
      <c r="D18" s="513" t="s">
        <v>627</v>
      </c>
      <c r="E18" s="513" t="s">
        <v>628</v>
      </c>
      <c r="F18" s="630" t="s">
        <v>134</v>
      </c>
    </row>
    <row r="19" spans="1:6" ht="15.75" hidden="1" customHeight="1" outlineLevel="1">
      <c r="A19" s="2643"/>
      <c r="B19" s="2642"/>
      <c r="C19" s="524">
        <v>6</v>
      </c>
      <c r="D19" s="494" t="s">
        <v>3</v>
      </c>
      <c r="E19" s="660" t="s">
        <v>556</v>
      </c>
      <c r="F19" s="630" t="s">
        <v>222</v>
      </c>
    </row>
    <row r="20" spans="1:6" s="519" customFormat="1" ht="15" hidden="1" customHeight="1" outlineLevel="1" collapsed="1">
      <c r="A20" s="2638" t="s">
        <v>584</v>
      </c>
      <c r="B20" s="2642" t="s">
        <v>586</v>
      </c>
      <c r="C20" s="525"/>
      <c r="D20" s="2623" t="s">
        <v>571</v>
      </c>
      <c r="E20" s="2623"/>
      <c r="F20" s="2624"/>
    </row>
    <row r="21" spans="1:6" ht="15" hidden="1" customHeight="1" outlineLevel="1">
      <c r="A21" s="2638"/>
      <c r="B21" s="2642"/>
      <c r="C21" s="526">
        <v>1</v>
      </c>
      <c r="D21" s="2633" t="s">
        <v>578</v>
      </c>
      <c r="E21" s="2633"/>
      <c r="F21" s="630" t="s">
        <v>594</v>
      </c>
    </row>
    <row r="22" spans="1:6" ht="15" hidden="1" customHeight="1" outlineLevel="1">
      <c r="A22" s="2638"/>
      <c r="B22" s="2642"/>
      <c r="C22" s="526">
        <v>2</v>
      </c>
      <c r="D22" s="2633" t="s">
        <v>620</v>
      </c>
      <c r="E22" s="2633"/>
      <c r="F22" s="630" t="s">
        <v>621</v>
      </c>
    </row>
    <row r="23" spans="1:6" ht="15" hidden="1" customHeight="1" outlineLevel="1">
      <c r="A23" s="2638"/>
      <c r="B23" s="2642"/>
      <c r="C23" s="526">
        <v>3</v>
      </c>
      <c r="D23" s="2633" t="s">
        <v>624</v>
      </c>
      <c r="E23" s="2633"/>
      <c r="F23" s="630" t="s">
        <v>625</v>
      </c>
    </row>
    <row r="24" spans="1:6" ht="15" hidden="1" customHeight="1" outlineLevel="1">
      <c r="A24" s="2638"/>
      <c r="B24" s="2642"/>
      <c r="C24" s="526">
        <v>4</v>
      </c>
      <c r="D24" s="2633" t="s">
        <v>617</v>
      </c>
      <c r="E24" s="2633"/>
      <c r="F24" s="630" t="s">
        <v>618</v>
      </c>
    </row>
    <row r="25" spans="1:6" ht="15" hidden="1" customHeight="1" outlineLevel="1">
      <c r="A25" s="2638"/>
      <c r="B25" s="2642"/>
      <c r="C25" s="526">
        <v>5</v>
      </c>
      <c r="D25" s="2633" t="s">
        <v>619</v>
      </c>
      <c r="E25" s="2633"/>
      <c r="F25" s="630" t="s">
        <v>595</v>
      </c>
    </row>
    <row r="26" spans="1:6" ht="15" hidden="1" customHeight="1" outlineLevel="1">
      <c r="A26" s="2638"/>
      <c r="B26" s="2642"/>
      <c r="C26" s="526">
        <v>6</v>
      </c>
      <c r="D26" s="2633" t="s">
        <v>579</v>
      </c>
      <c r="E26" s="2633"/>
      <c r="F26" s="630" t="s">
        <v>596</v>
      </c>
    </row>
    <row r="27" spans="1:6" ht="15" hidden="1" customHeight="1" outlineLevel="1">
      <c r="A27" s="2638"/>
      <c r="B27" s="2642"/>
      <c r="C27" s="526">
        <v>7</v>
      </c>
      <c r="D27" s="2633" t="s">
        <v>580</v>
      </c>
      <c r="E27" s="2633"/>
      <c r="F27" s="630" t="s">
        <v>597</v>
      </c>
    </row>
    <row r="28" spans="1:6" s="519" customFormat="1" ht="15" hidden="1" customHeight="1" outlineLevel="1">
      <c r="A28" s="2638"/>
      <c r="B28" s="2642"/>
      <c r="C28" s="527"/>
      <c r="D28" s="2623" t="s">
        <v>572</v>
      </c>
      <c r="E28" s="2623"/>
      <c r="F28" s="2624"/>
    </row>
    <row r="29" spans="1:6" ht="15" hidden="1" customHeight="1" outlineLevel="1">
      <c r="A29" s="2638"/>
      <c r="B29" s="2642"/>
      <c r="C29" s="526">
        <v>1</v>
      </c>
      <c r="D29" s="2633" t="s">
        <v>581</v>
      </c>
      <c r="E29" s="2633"/>
      <c r="F29" s="630" t="s">
        <v>598</v>
      </c>
    </row>
    <row r="30" spans="1:6" ht="15" hidden="1" customHeight="1" outlineLevel="1">
      <c r="A30" s="2638"/>
      <c r="B30" s="2642"/>
      <c r="C30" s="526">
        <v>2</v>
      </c>
      <c r="D30" s="2633" t="s">
        <v>582</v>
      </c>
      <c r="E30" s="2633"/>
      <c r="F30" s="630" t="s">
        <v>599</v>
      </c>
    </row>
    <row r="31" spans="1:6" ht="15" hidden="1" customHeight="1" outlineLevel="1">
      <c r="A31" s="2638"/>
      <c r="B31" s="2642"/>
      <c r="C31" s="526">
        <v>3</v>
      </c>
      <c r="D31" s="2633" t="s">
        <v>583</v>
      </c>
      <c r="E31" s="2633"/>
      <c r="F31" s="630" t="s">
        <v>600</v>
      </c>
    </row>
    <row r="32" spans="1:6" ht="15" hidden="1" customHeight="1" outlineLevel="1">
      <c r="A32" s="2638"/>
      <c r="B32" s="2642"/>
      <c r="C32" s="526">
        <v>4</v>
      </c>
      <c r="D32" s="2633" t="s">
        <v>587</v>
      </c>
      <c r="E32" s="2633"/>
      <c r="F32" s="630" t="s">
        <v>601</v>
      </c>
    </row>
    <row r="33" spans="1:6" ht="15" hidden="1" customHeight="1" outlineLevel="1">
      <c r="A33" s="2638"/>
      <c r="B33" s="2642"/>
      <c r="C33" s="526">
        <v>5</v>
      </c>
      <c r="D33" s="2633" t="s">
        <v>593</v>
      </c>
      <c r="E33" s="2633"/>
      <c r="F33" s="630" t="s">
        <v>602</v>
      </c>
    </row>
    <row r="34" spans="1:6" s="519" customFormat="1" ht="15" hidden="1" customHeight="1" outlineLevel="1">
      <c r="A34" s="2638"/>
      <c r="B34" s="2642"/>
      <c r="C34" s="527"/>
      <c r="D34" s="2623" t="s">
        <v>622</v>
      </c>
      <c r="E34" s="2623"/>
      <c r="F34" s="2624"/>
    </row>
    <row r="35" spans="1:6" ht="15" hidden="1" customHeight="1" outlineLevel="1">
      <c r="A35" s="2638"/>
      <c r="B35" s="2642"/>
      <c r="C35" s="526">
        <v>1</v>
      </c>
      <c r="D35" s="2633" t="s">
        <v>588</v>
      </c>
      <c r="E35" s="2633"/>
      <c r="F35" s="630" t="s">
        <v>603</v>
      </c>
    </row>
    <row r="36" spans="1:6" ht="15" hidden="1" customHeight="1" outlineLevel="1">
      <c r="A36" s="2638"/>
      <c r="B36" s="2642"/>
      <c r="C36" s="526">
        <v>2</v>
      </c>
      <c r="D36" s="2633" t="s">
        <v>589</v>
      </c>
      <c r="E36" s="2633"/>
      <c r="F36" s="630" t="s">
        <v>601</v>
      </c>
    </row>
    <row r="37" spans="1:6" ht="15" hidden="1" customHeight="1" outlineLevel="1">
      <c r="A37" s="2638"/>
      <c r="B37" s="2642"/>
      <c r="C37" s="526">
        <v>3</v>
      </c>
      <c r="D37" s="2633" t="s">
        <v>591</v>
      </c>
      <c r="E37" s="2633"/>
      <c r="F37" s="630" t="s">
        <v>222</v>
      </c>
    </row>
    <row r="38" spans="1:6" ht="15" hidden="1" customHeight="1" outlineLevel="1">
      <c r="A38" s="2638"/>
      <c r="B38" s="2642"/>
      <c r="C38" s="526">
        <v>4</v>
      </c>
      <c r="D38" s="2633" t="s">
        <v>590</v>
      </c>
      <c r="E38" s="2633"/>
      <c r="F38" s="630" t="s">
        <v>616</v>
      </c>
    </row>
    <row r="39" spans="1:6" ht="45.75" hidden="1" customHeight="1" outlineLevel="1">
      <c r="A39" s="2638"/>
      <c r="B39" s="2640" t="s">
        <v>634</v>
      </c>
      <c r="C39" s="526"/>
      <c r="D39" s="540" t="s">
        <v>3</v>
      </c>
      <c r="E39" s="538" t="s">
        <v>636</v>
      </c>
      <c r="F39" s="630" t="s">
        <v>635</v>
      </c>
    </row>
    <row r="40" spans="1:6" ht="45.75" hidden="1" customHeight="1" outlineLevel="1">
      <c r="A40" s="2638"/>
      <c r="B40" s="2640"/>
      <c r="C40" s="539"/>
      <c r="D40" s="540" t="s">
        <v>3</v>
      </c>
      <c r="E40" s="538" t="s">
        <v>637</v>
      </c>
      <c r="F40" s="630" t="s">
        <v>638</v>
      </c>
    </row>
    <row r="41" spans="1:6" ht="15" hidden="1" customHeight="1" outlineLevel="1" collapsed="1">
      <c r="A41" s="2638" t="s">
        <v>648</v>
      </c>
      <c r="B41" s="2642" t="s">
        <v>649</v>
      </c>
      <c r="C41" s="539"/>
      <c r="D41" s="2623" t="s">
        <v>571</v>
      </c>
      <c r="E41" s="2623"/>
      <c r="F41" s="2624"/>
    </row>
    <row r="42" spans="1:6" ht="35.25" hidden="1" customHeight="1" outlineLevel="1">
      <c r="A42" s="2638"/>
      <c r="B42" s="2642"/>
      <c r="C42" s="547">
        <v>1</v>
      </c>
      <c r="D42" s="2641" t="s">
        <v>651</v>
      </c>
      <c r="E42" s="2641"/>
      <c r="F42" s="631"/>
    </row>
    <row r="43" spans="1:6" ht="15" hidden="1" customHeight="1" outlineLevel="1">
      <c r="A43" s="2638"/>
      <c r="B43" s="2642"/>
      <c r="C43" s="539"/>
      <c r="D43" s="2623" t="s">
        <v>572</v>
      </c>
      <c r="E43" s="2623"/>
      <c r="F43" s="2624"/>
    </row>
    <row r="44" spans="1:6" ht="15" hidden="1" customHeight="1" outlineLevel="1">
      <c r="A44" s="2638"/>
      <c r="B44" s="2642"/>
      <c r="C44" s="539">
        <v>1</v>
      </c>
      <c r="D44" s="2633" t="s">
        <v>655</v>
      </c>
      <c r="E44" s="2633"/>
      <c r="F44" s="630" t="s">
        <v>650</v>
      </c>
    </row>
    <row r="45" spans="1:6" ht="15" hidden="1" customHeight="1" outlineLevel="1">
      <c r="A45" s="2638"/>
      <c r="B45" s="2642"/>
      <c r="C45" s="539">
        <v>2</v>
      </c>
      <c r="D45" s="2633" t="s">
        <v>652</v>
      </c>
      <c r="E45" s="2633"/>
      <c r="F45" s="630" t="s">
        <v>601</v>
      </c>
    </row>
    <row r="46" spans="1:6" ht="15" hidden="1" customHeight="1" outlineLevel="1">
      <c r="A46" s="2638"/>
      <c r="B46" s="2642"/>
      <c r="C46" s="539">
        <v>3</v>
      </c>
      <c r="D46" s="2633" t="s">
        <v>659</v>
      </c>
      <c r="E46" s="2633"/>
      <c r="F46" s="630" t="s">
        <v>660</v>
      </c>
    </row>
    <row r="47" spans="1:6" ht="15" hidden="1" customHeight="1" outlineLevel="1">
      <c r="A47" s="2638"/>
      <c r="B47" s="2642"/>
      <c r="C47" s="539"/>
      <c r="D47" s="2623" t="s">
        <v>622</v>
      </c>
      <c r="E47" s="2623"/>
      <c r="F47" s="2624"/>
    </row>
    <row r="48" spans="1:6" ht="29.25" hidden="1" customHeight="1" outlineLevel="1">
      <c r="A48" s="2638"/>
      <c r="B48" s="2642"/>
      <c r="C48" s="547">
        <v>1</v>
      </c>
      <c r="D48" s="2641" t="s">
        <v>653</v>
      </c>
      <c r="E48" s="2641"/>
      <c r="F48" s="630" t="s">
        <v>635</v>
      </c>
    </row>
    <row r="49" spans="1:6" ht="29.25" hidden="1" customHeight="1" outlineLevel="1">
      <c r="A49" s="2638"/>
      <c r="B49" s="2642"/>
      <c r="C49" s="547">
        <v>2</v>
      </c>
      <c r="D49" s="2641" t="s">
        <v>657</v>
      </c>
      <c r="E49" s="2641"/>
      <c r="F49" s="630" t="s">
        <v>217</v>
      </c>
    </row>
    <row r="50" spans="1:6" ht="15" hidden="1" customHeight="1" outlineLevel="1">
      <c r="A50" s="2638"/>
      <c r="B50" s="2642"/>
      <c r="C50" s="539">
        <v>3</v>
      </c>
      <c r="D50" s="2633" t="s">
        <v>654</v>
      </c>
      <c r="E50" s="2633"/>
      <c r="F50" s="630" t="s">
        <v>638</v>
      </c>
    </row>
    <row r="51" spans="1:6" ht="36" hidden="1" customHeight="1" outlineLevel="1">
      <c r="A51" s="2638"/>
      <c r="B51" s="2640" t="s">
        <v>661</v>
      </c>
      <c r="C51" s="539">
        <v>1</v>
      </c>
      <c r="D51" s="549" t="s">
        <v>3</v>
      </c>
      <c r="E51" s="550" t="s">
        <v>662</v>
      </c>
      <c r="F51" s="630" t="s">
        <v>596</v>
      </c>
    </row>
    <row r="52" spans="1:6" ht="15.75" hidden="1" customHeight="1" outlineLevel="1" thickBot="1">
      <c r="A52" s="2639"/>
      <c r="B52" s="2616"/>
      <c r="C52" s="625">
        <v>2</v>
      </c>
      <c r="D52" s="626" t="s">
        <v>663</v>
      </c>
      <c r="E52" s="627" t="s">
        <v>664</v>
      </c>
      <c r="F52" s="639" t="s">
        <v>3</v>
      </c>
    </row>
    <row r="53" spans="1:6" ht="15" hidden="1" customHeight="1" outlineLevel="1">
      <c r="A53" s="2621" t="s">
        <v>824</v>
      </c>
      <c r="B53" s="2630" t="s">
        <v>823</v>
      </c>
      <c r="C53" s="628"/>
      <c r="D53" s="2634" t="s">
        <v>714</v>
      </c>
      <c r="E53" s="2634"/>
      <c r="F53" s="629"/>
    </row>
    <row r="54" spans="1:6" ht="29.25" hidden="1" customHeight="1" outlineLevel="1">
      <c r="A54" s="2622"/>
      <c r="B54" s="2631"/>
      <c r="C54" s="547">
        <v>1</v>
      </c>
      <c r="D54" s="2625" t="s">
        <v>715</v>
      </c>
      <c r="E54" s="2625"/>
      <c r="F54" s="630" t="s">
        <v>716</v>
      </c>
    </row>
    <row r="55" spans="1:6" ht="15" hidden="1" customHeight="1" outlineLevel="1">
      <c r="A55" s="2622"/>
      <c r="B55" s="2631"/>
      <c r="C55" s="539">
        <v>2</v>
      </c>
      <c r="D55" s="2625" t="s">
        <v>717</v>
      </c>
      <c r="E55" s="2625"/>
      <c r="F55" s="630" t="s">
        <v>718</v>
      </c>
    </row>
    <row r="56" spans="1:6" hidden="1" outlineLevel="1">
      <c r="A56" s="2622"/>
      <c r="B56" s="2631"/>
      <c r="C56" s="539"/>
      <c r="D56" s="2623" t="s">
        <v>571</v>
      </c>
      <c r="E56" s="2623"/>
      <c r="F56" s="2624"/>
    </row>
    <row r="57" spans="1:6" ht="15" hidden="1" customHeight="1" outlineLevel="1">
      <c r="A57" s="2622"/>
      <c r="B57" s="2631"/>
      <c r="C57" s="539">
        <v>1</v>
      </c>
      <c r="D57" s="2625" t="s">
        <v>821</v>
      </c>
      <c r="E57" s="2625"/>
      <c r="F57" s="631"/>
    </row>
    <row r="58" spans="1:6" ht="15" hidden="1" customHeight="1" outlineLevel="1">
      <c r="A58" s="2622"/>
      <c r="B58" s="2631"/>
      <c r="C58" s="539">
        <v>2</v>
      </c>
      <c r="D58" s="2625" t="s">
        <v>822</v>
      </c>
      <c r="E58" s="2625"/>
      <c r="F58" s="631"/>
    </row>
    <row r="59" spans="1:6" s="519" customFormat="1" ht="15" hidden="1" customHeight="1" outlineLevel="1">
      <c r="A59" s="2622"/>
      <c r="B59" s="2631"/>
      <c r="C59" s="527"/>
      <c r="D59" s="2623" t="s">
        <v>572</v>
      </c>
      <c r="E59" s="2623"/>
      <c r="F59" s="2624"/>
    </row>
    <row r="60" spans="1:6" ht="15" hidden="1" customHeight="1" outlineLevel="1">
      <c r="A60" s="2622"/>
      <c r="B60" s="2631"/>
      <c r="C60" s="526">
        <v>1</v>
      </c>
      <c r="D60" s="2633" t="s">
        <v>828</v>
      </c>
      <c r="E60" s="2633"/>
      <c r="F60" s="630"/>
    </row>
    <row r="61" spans="1:6" ht="15" hidden="1" customHeight="1" outlineLevel="1">
      <c r="A61" s="2622"/>
      <c r="B61" s="2631"/>
      <c r="C61" s="539">
        <v>2</v>
      </c>
      <c r="D61" s="2625" t="s">
        <v>829</v>
      </c>
      <c r="E61" s="2625"/>
      <c r="F61" s="631"/>
    </row>
    <row r="62" spans="1:6" ht="15.75" hidden="1" outlineLevel="1" thickBot="1">
      <c r="A62" s="2622"/>
      <c r="B62" s="2631"/>
      <c r="C62" s="625">
        <v>3</v>
      </c>
      <c r="D62" s="2632" t="s">
        <v>830</v>
      </c>
      <c r="E62" s="2632"/>
      <c r="F62" s="639"/>
    </row>
    <row r="63" spans="1:6" ht="15" hidden="1" customHeight="1" outlineLevel="1">
      <c r="A63" s="2622"/>
      <c r="B63" s="2626" t="s">
        <v>842</v>
      </c>
      <c r="C63" s="641">
        <v>1</v>
      </c>
      <c r="D63" s="2629" t="s">
        <v>839</v>
      </c>
      <c r="E63" s="2629"/>
      <c r="F63" s="642" t="s">
        <v>562</v>
      </c>
    </row>
    <row r="64" spans="1:6" ht="15" hidden="1" customHeight="1" outlineLevel="1">
      <c r="A64" s="2622"/>
      <c r="B64" s="2627"/>
      <c r="C64" s="643">
        <v>2</v>
      </c>
      <c r="D64" s="2637" t="s">
        <v>838</v>
      </c>
      <c r="E64" s="2637"/>
      <c r="F64" s="640" t="s">
        <v>835</v>
      </c>
    </row>
    <row r="65" spans="1:6" ht="15" hidden="1" customHeight="1" outlineLevel="1">
      <c r="A65" s="2622"/>
      <c r="B65" s="2627"/>
      <c r="C65" s="643">
        <v>3</v>
      </c>
      <c r="D65" s="2637" t="s">
        <v>841</v>
      </c>
      <c r="E65" s="2637"/>
      <c r="F65" s="640" t="s">
        <v>618</v>
      </c>
    </row>
    <row r="66" spans="1:6" ht="30.75" hidden="1" outlineLevel="1" thickBot="1">
      <c r="A66" s="2622"/>
      <c r="B66" s="2628"/>
      <c r="C66" s="644">
        <v>4</v>
      </c>
      <c r="D66" s="645" t="s">
        <v>836</v>
      </c>
      <c r="E66" s="645" t="s">
        <v>837</v>
      </c>
      <c r="F66" s="646" t="s">
        <v>777</v>
      </c>
    </row>
    <row r="67" spans="1:6" ht="15.75" hidden="1" customHeight="1" outlineLevel="1">
      <c r="A67" s="2622"/>
      <c r="B67" s="2631" t="s">
        <v>843</v>
      </c>
      <c r="C67" s="651">
        <v>1</v>
      </c>
      <c r="D67" s="652" t="s">
        <v>844</v>
      </c>
      <c r="E67" s="652" t="s">
        <v>845</v>
      </c>
      <c r="F67" s="653" t="s">
        <v>846</v>
      </c>
    </row>
    <row r="68" spans="1:6" hidden="1" outlineLevel="1">
      <c r="A68" s="2622"/>
      <c r="B68" s="2631"/>
      <c r="C68" s="539">
        <v>2</v>
      </c>
      <c r="D68" s="624" t="s">
        <v>847</v>
      </c>
      <c r="E68" s="624" t="s">
        <v>848</v>
      </c>
      <c r="F68" s="630" t="s">
        <v>222</v>
      </c>
    </row>
    <row r="69" spans="1:6" ht="30" hidden="1" outlineLevel="1">
      <c r="A69" s="2622"/>
      <c r="B69" s="2631"/>
      <c r="C69" s="539">
        <v>3</v>
      </c>
      <c r="D69" s="460" t="s">
        <v>3</v>
      </c>
      <c r="E69" s="623" t="s">
        <v>849</v>
      </c>
      <c r="F69" s="630" t="s">
        <v>597</v>
      </c>
    </row>
    <row r="70" spans="1:6" hidden="1" outlineLevel="1">
      <c r="A70" s="2622"/>
      <c r="B70" s="2631"/>
      <c r="C70" s="539">
        <v>4</v>
      </c>
      <c r="D70" s="460" t="s">
        <v>851</v>
      </c>
      <c r="E70" s="623" t="s">
        <v>852</v>
      </c>
      <c r="F70" s="630" t="s">
        <v>222</v>
      </c>
    </row>
    <row r="71" spans="1:6" ht="15.75" hidden="1" outlineLevel="1" thickBot="1">
      <c r="A71" s="2622"/>
      <c r="B71" s="2635"/>
      <c r="C71" s="632">
        <v>5</v>
      </c>
      <c r="D71" s="633" t="s">
        <v>3</v>
      </c>
      <c r="E71" s="634" t="s">
        <v>853</v>
      </c>
      <c r="F71" s="654" t="s">
        <v>222</v>
      </c>
    </row>
    <row r="72" spans="1:6" ht="60" hidden="1" outlineLevel="1">
      <c r="A72" s="2622"/>
      <c r="B72" s="659" t="s">
        <v>856</v>
      </c>
      <c r="C72" s="662">
        <v>1</v>
      </c>
      <c r="D72" s="663" t="s">
        <v>855</v>
      </c>
      <c r="E72" s="664" t="s">
        <v>859</v>
      </c>
      <c r="F72" s="665"/>
    </row>
    <row r="73" spans="1:6" hidden="1" outlineLevel="1" collapsed="1">
      <c r="A73" s="2636" t="s">
        <v>860</v>
      </c>
      <c r="B73" s="2631" t="s">
        <v>861</v>
      </c>
      <c r="C73" s="539"/>
      <c r="D73" s="2623" t="s">
        <v>571</v>
      </c>
      <c r="E73" s="2623"/>
      <c r="F73" s="2624"/>
    </row>
    <row r="74" spans="1:6" hidden="1" outlineLevel="1">
      <c r="A74" s="2636"/>
      <c r="B74" s="2631"/>
      <c r="C74" s="539">
        <v>1</v>
      </c>
      <c r="D74" s="2625" t="s">
        <v>862</v>
      </c>
      <c r="E74" s="2625"/>
      <c r="F74" s="630" t="s">
        <v>863</v>
      </c>
    </row>
    <row r="75" spans="1:6" s="519" customFormat="1" hidden="1" outlineLevel="1">
      <c r="A75" s="2636"/>
      <c r="B75" s="2631"/>
      <c r="C75" s="527"/>
      <c r="D75" s="2623" t="s">
        <v>572</v>
      </c>
      <c r="E75" s="2623"/>
      <c r="F75" s="2624"/>
    </row>
    <row r="76" spans="1:6" ht="15" hidden="1" customHeight="1" outlineLevel="1">
      <c r="A76" s="2636"/>
      <c r="B76" s="2631"/>
      <c r="C76" s="526">
        <v>1</v>
      </c>
      <c r="D76" s="2633" t="s">
        <v>864</v>
      </c>
      <c r="E76" s="2633"/>
      <c r="F76" s="630" t="s">
        <v>923</v>
      </c>
    </row>
    <row r="77" spans="1:6" ht="15.75" hidden="1" outlineLevel="1" thickBot="1">
      <c r="A77" s="2636"/>
      <c r="B77" s="2631"/>
      <c r="C77" s="625">
        <v>2</v>
      </c>
      <c r="D77" s="2632" t="s">
        <v>865</v>
      </c>
      <c r="E77" s="2632"/>
      <c r="F77" s="757" t="s">
        <v>923</v>
      </c>
    </row>
    <row r="78" spans="1:6" ht="14.45" hidden="1" customHeight="1" outlineLevel="1" collapsed="1">
      <c r="A78" s="2554" t="s">
        <v>913</v>
      </c>
      <c r="B78" s="2585" t="s">
        <v>926</v>
      </c>
      <c r="C78" s="628"/>
      <c r="D78" s="2588" t="s">
        <v>571</v>
      </c>
      <c r="E78" s="2588"/>
      <c r="F78" s="2589"/>
    </row>
    <row r="79" spans="1:6" ht="14.45" hidden="1" customHeight="1" outlineLevel="1">
      <c r="A79" s="2554"/>
      <c r="B79" s="2586"/>
      <c r="C79" s="758">
        <v>1</v>
      </c>
      <c r="D79" s="2580" t="s">
        <v>916</v>
      </c>
      <c r="E79" s="2581"/>
      <c r="F79" s="2582"/>
    </row>
    <row r="80" spans="1:6" s="519" customFormat="1" hidden="1" outlineLevel="1">
      <c r="A80" s="2554"/>
      <c r="B80" s="2586"/>
      <c r="C80" s="759"/>
      <c r="D80" s="2570" t="s">
        <v>572</v>
      </c>
      <c r="E80" s="2570"/>
      <c r="F80" s="2571"/>
    </row>
    <row r="81" spans="1:6" ht="15" hidden="1" customHeight="1" outlineLevel="1">
      <c r="A81" s="2554"/>
      <c r="B81" s="2586"/>
      <c r="C81" s="760">
        <v>1</v>
      </c>
      <c r="D81" s="2572" t="s">
        <v>917</v>
      </c>
      <c r="E81" s="2572"/>
      <c r="F81" s="761" t="s">
        <v>922</v>
      </c>
    </row>
    <row r="82" spans="1:6" hidden="1" outlineLevel="1">
      <c r="A82" s="2554"/>
      <c r="B82" s="2586"/>
      <c r="C82" s="758">
        <v>2</v>
      </c>
      <c r="D82" s="2572" t="s">
        <v>918</v>
      </c>
      <c r="E82" s="2572"/>
      <c r="F82" s="761" t="s">
        <v>920</v>
      </c>
    </row>
    <row r="83" spans="1:6" hidden="1" outlineLevel="1">
      <c r="A83" s="2554"/>
      <c r="B83" s="2586"/>
      <c r="C83" s="758">
        <v>3</v>
      </c>
      <c r="D83" s="2572" t="s">
        <v>919</v>
      </c>
      <c r="E83" s="2572"/>
      <c r="F83" s="761" t="s">
        <v>921</v>
      </c>
    </row>
    <row r="84" spans="1:6" hidden="1" outlineLevel="1">
      <c r="A84" s="2554"/>
      <c r="B84" s="2586"/>
      <c r="C84" s="758">
        <v>4</v>
      </c>
      <c r="D84" s="2572" t="s">
        <v>924</v>
      </c>
      <c r="E84" s="2572"/>
      <c r="F84" s="761" t="s">
        <v>134</v>
      </c>
    </row>
    <row r="85" spans="1:6" ht="15.75" hidden="1" outlineLevel="1" thickBot="1">
      <c r="A85" s="2554"/>
      <c r="B85" s="2587"/>
      <c r="C85" s="632">
        <v>5</v>
      </c>
      <c r="D85" s="2584" t="s">
        <v>925</v>
      </c>
      <c r="E85" s="2584"/>
      <c r="F85" s="654" t="s">
        <v>922</v>
      </c>
    </row>
    <row r="86" spans="1:6" ht="14.45" hidden="1" customHeight="1" outlineLevel="1" collapsed="1">
      <c r="A86" s="2554"/>
      <c r="B86" s="2585" t="s">
        <v>929</v>
      </c>
      <c r="C86" s="628"/>
      <c r="D86" s="2588" t="s">
        <v>571</v>
      </c>
      <c r="E86" s="2588"/>
      <c r="F86" s="2589"/>
    </row>
    <row r="87" spans="1:6" ht="14.45" hidden="1" customHeight="1" outlineLevel="1">
      <c r="A87" s="2554"/>
      <c r="B87" s="2586"/>
      <c r="C87" s="758">
        <v>1</v>
      </c>
      <c r="D87" s="2580" t="s">
        <v>930</v>
      </c>
      <c r="E87" s="2581"/>
      <c r="F87" s="2582"/>
    </row>
    <row r="88" spans="1:6" s="519" customFormat="1" hidden="1" outlineLevel="1">
      <c r="A88" s="2554"/>
      <c r="B88" s="2586"/>
      <c r="C88" s="759"/>
      <c r="D88" s="2570" t="s">
        <v>622</v>
      </c>
      <c r="E88" s="2570"/>
      <c r="F88" s="2571"/>
    </row>
    <row r="89" spans="1:6" ht="15" hidden="1" customHeight="1" outlineLevel="1">
      <c r="A89" s="2554"/>
      <c r="B89" s="2586"/>
      <c r="C89" s="760">
        <v>1</v>
      </c>
      <c r="D89" s="2572" t="s">
        <v>931</v>
      </c>
      <c r="E89" s="2572"/>
      <c r="F89" s="761" t="s">
        <v>922</v>
      </c>
    </row>
    <row r="90" spans="1:6" ht="14.45" hidden="1" customHeight="1" outlineLevel="1" collapsed="1">
      <c r="A90" s="2554"/>
      <c r="B90" s="2616" t="s">
        <v>937</v>
      </c>
      <c r="C90" s="758"/>
      <c r="D90" s="2570" t="s">
        <v>572</v>
      </c>
      <c r="E90" s="2570"/>
      <c r="F90" s="2571"/>
    </row>
    <row r="91" spans="1:6" ht="14.45" hidden="1" customHeight="1" outlineLevel="1">
      <c r="A91" s="2554"/>
      <c r="B91" s="2617"/>
      <c r="C91" s="758">
        <v>1</v>
      </c>
      <c r="D91" s="2580" t="s">
        <v>933</v>
      </c>
      <c r="E91" s="2581"/>
      <c r="F91" s="2582"/>
    </row>
    <row r="92" spans="1:6" s="519" customFormat="1" hidden="1" outlineLevel="1">
      <c r="A92" s="2554"/>
      <c r="B92" s="2617"/>
      <c r="C92" s="759"/>
      <c r="D92" s="2570" t="s">
        <v>622</v>
      </c>
      <c r="E92" s="2570"/>
      <c r="F92" s="2571"/>
    </row>
    <row r="93" spans="1:6" ht="15" hidden="1" customHeight="1" outlineLevel="1">
      <c r="A93" s="2554"/>
      <c r="B93" s="2617"/>
      <c r="C93" s="760">
        <v>1</v>
      </c>
      <c r="D93" s="2572" t="s">
        <v>931</v>
      </c>
      <c r="E93" s="2572"/>
      <c r="F93" s="761"/>
    </row>
    <row r="94" spans="1:6" ht="15.75" hidden="1" outlineLevel="1" thickBot="1">
      <c r="A94" s="2554"/>
      <c r="B94" s="2618"/>
      <c r="C94" s="632">
        <v>2</v>
      </c>
      <c r="D94" s="2584" t="s">
        <v>932</v>
      </c>
      <c r="E94" s="2584"/>
      <c r="F94" s="654"/>
    </row>
    <row r="95" spans="1:6" ht="23.25" hidden="1" customHeight="1" outlineLevel="1" collapsed="1">
      <c r="A95" s="2554"/>
      <c r="B95" s="2617" t="s">
        <v>936</v>
      </c>
      <c r="C95" s="764"/>
      <c r="D95" s="2607" t="s">
        <v>572</v>
      </c>
      <c r="E95" s="2607"/>
      <c r="F95" s="2608"/>
    </row>
    <row r="96" spans="1:6" ht="23.25" hidden="1" customHeight="1" outlineLevel="1" thickBot="1">
      <c r="A96" s="2554"/>
      <c r="B96" s="2618"/>
      <c r="C96" s="632">
        <v>1</v>
      </c>
      <c r="D96" s="2609" t="s">
        <v>938</v>
      </c>
      <c r="E96" s="2610"/>
      <c r="F96" s="654" t="s">
        <v>939</v>
      </c>
    </row>
    <row r="97" spans="1:6" ht="14.45" hidden="1" customHeight="1" outlineLevel="1" collapsed="1">
      <c r="A97" s="2554"/>
      <c r="B97" s="2619" t="s">
        <v>940</v>
      </c>
      <c r="C97" s="764"/>
      <c r="D97" s="2607" t="s">
        <v>572</v>
      </c>
      <c r="E97" s="2607"/>
      <c r="F97" s="2608"/>
    </row>
    <row r="98" spans="1:6" ht="14.45" hidden="1" customHeight="1" outlineLevel="1">
      <c r="A98" s="2554"/>
      <c r="B98" s="2620"/>
      <c r="C98" s="758">
        <v>1</v>
      </c>
      <c r="D98" s="2580" t="s">
        <v>941</v>
      </c>
      <c r="E98" s="2581"/>
      <c r="F98" s="761" t="s">
        <v>942</v>
      </c>
    </row>
    <row r="99" spans="1:6" ht="14.45" hidden="1" customHeight="1" outlineLevel="1">
      <c r="A99" s="2554"/>
      <c r="B99" s="2620"/>
      <c r="C99" s="758">
        <v>2</v>
      </c>
      <c r="D99" s="2580" t="s">
        <v>943</v>
      </c>
      <c r="E99" s="2581"/>
      <c r="F99" s="761" t="s">
        <v>944</v>
      </c>
    </row>
    <row r="100" spans="1:6" ht="14.45" hidden="1" customHeight="1" outlineLevel="1" thickBot="1">
      <c r="A100" s="2544"/>
      <c r="B100" s="2620"/>
      <c r="C100" s="758">
        <v>3</v>
      </c>
      <c r="D100" s="2580" t="s">
        <v>945</v>
      </c>
      <c r="E100" s="2581"/>
      <c r="F100" s="761" t="s">
        <v>777</v>
      </c>
    </row>
    <row r="101" spans="1:6" ht="14.45" hidden="1" customHeight="1" outlineLevel="1">
      <c r="A101" s="2567" t="s">
        <v>974</v>
      </c>
      <c r="B101" s="2611" t="s">
        <v>976</v>
      </c>
      <c r="C101" s="770"/>
      <c r="D101" s="2588" t="s">
        <v>571</v>
      </c>
      <c r="E101" s="2588"/>
      <c r="F101" s="2589"/>
    </row>
    <row r="102" spans="1:6" ht="14.45" hidden="1" customHeight="1" outlineLevel="1">
      <c r="A102" s="2568"/>
      <c r="B102" s="2612"/>
      <c r="C102" s="771">
        <v>1</v>
      </c>
      <c r="D102" s="2580" t="s">
        <v>975</v>
      </c>
      <c r="E102" s="2581"/>
      <c r="F102" s="761"/>
    </row>
    <row r="103" spans="1:6" ht="14.45" hidden="1" customHeight="1" outlineLevel="1">
      <c r="A103" s="2568"/>
      <c r="B103" s="2612"/>
      <c r="C103" s="770"/>
      <c r="D103" s="2580" t="s">
        <v>977</v>
      </c>
      <c r="E103" s="2581"/>
      <c r="F103" s="653"/>
    </row>
    <row r="104" spans="1:6" ht="14.45" hidden="1" customHeight="1" outlineLevel="1">
      <c r="A104" s="2568"/>
      <c r="B104" s="2612"/>
      <c r="C104" s="770"/>
      <c r="D104" s="2607" t="s">
        <v>572</v>
      </c>
      <c r="E104" s="2607"/>
      <c r="F104" s="2608"/>
    </row>
    <row r="105" spans="1:6" ht="14.45" hidden="1" customHeight="1" outlineLevel="1">
      <c r="A105" s="2568"/>
      <c r="B105" s="2612"/>
      <c r="C105" s="771">
        <v>1</v>
      </c>
      <c r="D105" s="2580" t="s">
        <v>965</v>
      </c>
      <c r="E105" s="2581"/>
      <c r="F105" s="761" t="s">
        <v>922</v>
      </c>
    </row>
    <row r="106" spans="1:6" ht="14.45" hidden="1" customHeight="1" outlineLevel="1">
      <c r="A106" s="2568"/>
      <c r="B106" s="2612"/>
      <c r="C106" s="771"/>
      <c r="D106" s="803"/>
      <c r="E106" s="804"/>
      <c r="F106" s="761"/>
    </row>
    <row r="107" spans="1:6" hidden="1" outlineLevel="1">
      <c r="A107" s="2568"/>
      <c r="B107" s="2612"/>
      <c r="C107" s="772"/>
      <c r="D107" s="2570" t="s">
        <v>622</v>
      </c>
      <c r="E107" s="2570"/>
      <c r="F107" s="2571"/>
    </row>
    <row r="108" spans="1:6" ht="15.75" hidden="1" outlineLevel="1" thickBot="1">
      <c r="A108" s="2569"/>
      <c r="B108" s="2613"/>
      <c r="C108" s="807">
        <v>1</v>
      </c>
      <c r="D108" s="2584" t="s">
        <v>978</v>
      </c>
      <c r="E108" s="2584"/>
      <c r="F108" s="654" t="s">
        <v>966</v>
      </c>
    </row>
    <row r="109" spans="1:6" ht="14.45" hidden="1" customHeight="1" outlineLevel="1" collapsed="1">
      <c r="A109" s="2574" t="s">
        <v>988</v>
      </c>
      <c r="B109" s="2577" t="s">
        <v>987</v>
      </c>
      <c r="C109" s="770"/>
      <c r="D109" s="2607" t="s">
        <v>571</v>
      </c>
      <c r="E109" s="2607"/>
      <c r="F109" s="2608"/>
    </row>
    <row r="110" spans="1:6" ht="14.45" hidden="1" customHeight="1" outlineLevel="1">
      <c r="A110" s="2575"/>
      <c r="B110" s="2573"/>
      <c r="C110" s="771">
        <v>1</v>
      </c>
      <c r="D110" s="2580" t="s">
        <v>980</v>
      </c>
      <c r="E110" s="2581"/>
      <c r="F110" s="761"/>
    </row>
    <row r="111" spans="1:6" ht="14.45" hidden="1" customHeight="1" outlineLevel="1">
      <c r="A111" s="2575"/>
      <c r="B111" s="2573"/>
      <c r="C111" s="770"/>
      <c r="D111" s="2580"/>
      <c r="E111" s="2581"/>
      <c r="F111" s="653"/>
    </row>
    <row r="112" spans="1:6" ht="14.45" hidden="1" customHeight="1" outlineLevel="1">
      <c r="A112" s="2575"/>
      <c r="B112" s="2573"/>
      <c r="C112" s="770"/>
      <c r="D112" s="2607" t="s">
        <v>572</v>
      </c>
      <c r="E112" s="2607"/>
      <c r="F112" s="2608"/>
    </row>
    <row r="113" spans="1:6" ht="14.45" hidden="1" customHeight="1" outlineLevel="1">
      <c r="A113" s="2575"/>
      <c r="B113" s="2573"/>
      <c r="C113" s="771">
        <v>1</v>
      </c>
      <c r="D113" s="2580" t="s">
        <v>981</v>
      </c>
      <c r="E113" s="2581"/>
      <c r="F113" s="761" t="s">
        <v>982</v>
      </c>
    </row>
    <row r="114" spans="1:6" ht="14.45" hidden="1" customHeight="1" outlineLevel="1">
      <c r="A114" s="2575"/>
      <c r="B114" s="2573"/>
      <c r="C114" s="771">
        <v>2</v>
      </c>
      <c r="D114" s="2580" t="s">
        <v>986</v>
      </c>
      <c r="E114" s="2615"/>
      <c r="F114" s="761"/>
    </row>
    <row r="115" spans="1:6" ht="14.45" hidden="1" customHeight="1" outlineLevel="1">
      <c r="A115" s="2575"/>
      <c r="B115" s="2573"/>
      <c r="C115" s="771">
        <v>3</v>
      </c>
      <c r="D115" s="2580" t="s">
        <v>990</v>
      </c>
      <c r="E115" s="2615"/>
      <c r="F115" s="761"/>
    </row>
    <row r="116" spans="1:6" hidden="1" outlineLevel="1">
      <c r="A116" s="2575"/>
      <c r="B116" s="2573"/>
      <c r="C116" s="772"/>
      <c r="D116" s="2570" t="s">
        <v>622</v>
      </c>
      <c r="E116" s="2570"/>
      <c r="F116" s="2571"/>
    </row>
    <row r="117" spans="1:6" hidden="1" outlineLevel="1">
      <c r="A117" s="2575"/>
      <c r="B117" s="2573"/>
      <c r="C117" s="773">
        <v>1</v>
      </c>
      <c r="D117" s="2572" t="s">
        <v>989</v>
      </c>
      <c r="E117" s="2572"/>
      <c r="F117" s="761"/>
    </row>
    <row r="118" spans="1:6" hidden="1" outlineLevel="1">
      <c r="A118" s="2575"/>
      <c r="B118" s="2573" t="s">
        <v>992</v>
      </c>
      <c r="C118" s="770"/>
      <c r="D118" s="2607" t="s">
        <v>572</v>
      </c>
      <c r="E118" s="2607"/>
      <c r="F118" s="2608"/>
    </row>
    <row r="119" spans="1:6" ht="15.75" hidden="1" outlineLevel="1" thickBot="1">
      <c r="A119" s="2576"/>
      <c r="B119" s="2614"/>
      <c r="C119" s="806">
        <v>1</v>
      </c>
      <c r="D119" s="2609" t="s">
        <v>991</v>
      </c>
      <c r="E119" s="2610"/>
      <c r="F119" s="654" t="s">
        <v>993</v>
      </c>
    </row>
    <row r="120" spans="1:6" ht="14.45" hidden="1" customHeight="1" outlineLevel="1" collapsed="1">
      <c r="A120" s="2578" t="s">
        <v>1001</v>
      </c>
      <c r="B120" s="2577" t="s">
        <v>1002</v>
      </c>
      <c r="C120" s="764"/>
      <c r="D120" s="2607" t="s">
        <v>571</v>
      </c>
      <c r="E120" s="2607"/>
      <c r="F120" s="2607"/>
    </row>
    <row r="121" spans="1:6" ht="14.45" hidden="1" customHeight="1" outlineLevel="1">
      <c r="A121" s="2579"/>
      <c r="B121" s="2573"/>
      <c r="C121" s="758">
        <v>1</v>
      </c>
      <c r="D121" s="2583" t="s">
        <v>1003</v>
      </c>
      <c r="E121" s="2583"/>
      <c r="F121" s="805" t="s">
        <v>1004</v>
      </c>
    </row>
    <row r="122" spans="1:6" ht="14.45" hidden="1" customHeight="1" outlineLevel="1" collapsed="1">
      <c r="A122" s="2579"/>
      <c r="B122" s="2573" t="s">
        <v>1005</v>
      </c>
      <c r="C122" s="758"/>
      <c r="D122" s="2570" t="s">
        <v>1007</v>
      </c>
      <c r="E122" s="2570"/>
      <c r="F122" s="2570"/>
    </row>
    <row r="123" spans="1:6" ht="14.45" hidden="1" customHeight="1" outlineLevel="1">
      <c r="A123" s="2579"/>
      <c r="B123" s="2573"/>
      <c r="C123" s="758">
        <v>1</v>
      </c>
      <c r="D123" s="2583" t="s">
        <v>1006</v>
      </c>
      <c r="E123" s="2583"/>
      <c r="F123" s="805" t="s">
        <v>134</v>
      </c>
    </row>
    <row r="124" spans="1:6" ht="14.45" hidden="1" customHeight="1" outlineLevel="1">
      <c r="A124" s="2579"/>
      <c r="B124" s="2573"/>
      <c r="C124" s="758">
        <v>2</v>
      </c>
      <c r="D124" s="2583" t="s">
        <v>1008</v>
      </c>
      <c r="E124" s="2583"/>
      <c r="F124" s="805" t="s">
        <v>1010</v>
      </c>
    </row>
    <row r="125" spans="1:6" ht="14.45" hidden="1" customHeight="1" outlineLevel="1">
      <c r="A125" s="2579"/>
      <c r="B125" s="2573"/>
      <c r="C125" s="758">
        <v>3</v>
      </c>
      <c r="D125" s="2583" t="s">
        <v>1009</v>
      </c>
      <c r="E125" s="2583"/>
      <c r="F125" s="805" t="s">
        <v>222</v>
      </c>
    </row>
    <row r="126" spans="1:6" ht="14.45" hidden="1" customHeight="1" outlineLevel="1">
      <c r="A126" s="2579"/>
      <c r="B126" s="2573"/>
      <c r="C126" s="758">
        <v>4</v>
      </c>
      <c r="D126" s="2583" t="s">
        <v>1011</v>
      </c>
      <c r="E126" s="2583"/>
      <c r="F126" s="805" t="s">
        <v>1013</v>
      </c>
    </row>
    <row r="127" spans="1:6" ht="14.45" hidden="1" customHeight="1" outlineLevel="1">
      <c r="A127" s="2579"/>
      <c r="B127" s="2573"/>
      <c r="C127" s="758">
        <v>5</v>
      </c>
      <c r="D127" s="2583" t="s">
        <v>1012</v>
      </c>
      <c r="E127" s="2583"/>
      <c r="F127" s="805" t="s">
        <v>549</v>
      </c>
    </row>
    <row r="128" spans="1:6" ht="14.45" hidden="1" customHeight="1" outlineLevel="1" collapsed="1">
      <c r="A128" s="2579"/>
      <c r="B128" s="2577" t="s">
        <v>1042</v>
      </c>
      <c r="C128" s="764"/>
      <c r="D128" s="2607" t="s">
        <v>714</v>
      </c>
      <c r="E128" s="2607"/>
      <c r="F128" s="2607"/>
    </row>
    <row r="129" spans="1:6" ht="14.45" hidden="1" customHeight="1" outlineLevel="1" thickBot="1">
      <c r="A129" s="2579"/>
      <c r="B129" s="2573"/>
      <c r="C129" s="758">
        <v>1</v>
      </c>
      <c r="D129" s="2583" t="s">
        <v>1043</v>
      </c>
      <c r="E129" s="2583"/>
      <c r="F129" s="805" t="s">
        <v>1044</v>
      </c>
    </row>
    <row r="130" spans="1:6" ht="14.45" hidden="1" customHeight="1" outlineLevel="1">
      <c r="A130" s="2578" t="s">
        <v>1053</v>
      </c>
      <c r="B130" s="2577" t="s">
        <v>1002</v>
      </c>
      <c r="C130" s="764"/>
      <c r="D130" s="2607" t="s">
        <v>571</v>
      </c>
      <c r="E130" s="2607"/>
      <c r="F130" s="2607"/>
    </row>
    <row r="131" spans="1:6" ht="14.45" hidden="1" customHeight="1" outlineLevel="1">
      <c r="A131" s="2579"/>
      <c r="B131" s="2573"/>
      <c r="C131" s="758">
        <v>1</v>
      </c>
      <c r="D131" s="2583" t="s">
        <v>1054</v>
      </c>
      <c r="E131" s="2583"/>
      <c r="F131" s="805" t="s">
        <v>134</v>
      </c>
    </row>
    <row r="132" spans="1:6" ht="14.45" hidden="1" customHeight="1" outlineLevel="1">
      <c r="A132" s="2579"/>
      <c r="B132" s="824"/>
      <c r="C132" s="758">
        <v>2</v>
      </c>
      <c r="D132" s="2583" t="s">
        <v>1055</v>
      </c>
      <c r="E132" s="2583"/>
      <c r="F132" s="805" t="s">
        <v>1057</v>
      </c>
    </row>
    <row r="133" spans="1:6" ht="14.45" hidden="1" customHeight="1" outlineLevel="1" collapsed="1">
      <c r="A133" s="2579"/>
      <c r="B133" s="2573" t="s">
        <v>1005</v>
      </c>
      <c r="C133" s="758"/>
      <c r="D133" s="2607" t="s">
        <v>572</v>
      </c>
      <c r="E133" s="2607"/>
      <c r="F133" s="2608"/>
    </row>
    <row r="134" spans="1:6" ht="14.45" hidden="1" customHeight="1" outlineLevel="1" thickBot="1">
      <c r="A134" s="2579"/>
      <c r="B134" s="2573"/>
      <c r="C134" s="758">
        <v>1</v>
      </c>
      <c r="D134" s="2583" t="s">
        <v>1056</v>
      </c>
      <c r="E134" s="2583"/>
      <c r="F134" s="805" t="s">
        <v>134</v>
      </c>
    </row>
    <row r="135" spans="1:6" ht="14.45" hidden="1" customHeight="1" outlineLevel="1" collapsed="1">
      <c r="A135" s="2578" t="s">
        <v>1073</v>
      </c>
      <c r="B135" s="2648"/>
      <c r="C135" s="764"/>
      <c r="D135" s="2607" t="s">
        <v>571</v>
      </c>
      <c r="E135" s="2607"/>
      <c r="F135" s="2607"/>
    </row>
    <row r="136" spans="1:6" ht="14.45" hidden="1" customHeight="1" outlineLevel="1">
      <c r="A136" s="2579"/>
      <c r="B136" s="2649"/>
      <c r="C136" s="758">
        <v>1</v>
      </c>
      <c r="D136" s="2583" t="s">
        <v>1054</v>
      </c>
      <c r="E136" s="2583"/>
      <c r="F136" s="805" t="s">
        <v>134</v>
      </c>
    </row>
    <row r="137" spans="1:6" ht="14.45" hidden="1" customHeight="1" outlineLevel="1">
      <c r="A137" s="2579"/>
      <c r="B137" s="2649"/>
      <c r="C137" s="758">
        <v>2</v>
      </c>
      <c r="D137" s="2583" t="s">
        <v>1074</v>
      </c>
      <c r="E137" s="2583"/>
      <c r="F137" s="805"/>
    </row>
    <row r="138" spans="1:6" ht="14.45" hidden="1" customHeight="1" outlineLevel="1">
      <c r="A138" s="2579"/>
      <c r="B138" s="2649"/>
      <c r="C138" s="758">
        <v>3</v>
      </c>
      <c r="D138" s="2583" t="s">
        <v>1080</v>
      </c>
      <c r="E138" s="2583"/>
      <c r="F138" s="805"/>
    </row>
    <row r="139" spans="1:6" ht="14.45" hidden="1" customHeight="1" outlineLevel="1" collapsed="1">
      <c r="A139" s="2579"/>
      <c r="B139" s="2649"/>
      <c r="C139" s="758"/>
      <c r="D139" s="2607" t="s">
        <v>572</v>
      </c>
      <c r="E139" s="2607"/>
      <c r="F139" s="2608"/>
    </row>
    <row r="140" spans="1:6" ht="14.45" hidden="1" customHeight="1" outlineLevel="1">
      <c r="A140" s="2579"/>
      <c r="B140" s="2649"/>
      <c r="C140" s="758">
        <v>1</v>
      </c>
      <c r="D140" s="2583" t="s">
        <v>1075</v>
      </c>
      <c r="E140" s="2583"/>
      <c r="F140" s="805"/>
    </row>
    <row r="141" spans="1:6" ht="33" hidden="1" customHeight="1" outlineLevel="1" thickBot="1">
      <c r="A141" s="2592"/>
      <c r="B141" s="2650"/>
      <c r="C141" s="983">
        <v>2</v>
      </c>
      <c r="D141" s="2583" t="s">
        <v>1076</v>
      </c>
      <c r="E141" s="2583"/>
      <c r="F141" s="805"/>
    </row>
    <row r="142" spans="1:6" ht="14.45" hidden="1" customHeight="1" outlineLevel="1" collapsed="1">
      <c r="A142" s="2578" t="s">
        <v>1113</v>
      </c>
      <c r="B142" s="2648"/>
      <c r="C142" s="758"/>
      <c r="D142" s="2607" t="s">
        <v>572</v>
      </c>
      <c r="E142" s="2607"/>
      <c r="F142" s="2608"/>
    </row>
    <row r="143" spans="1:6" ht="14.45" hidden="1" customHeight="1" outlineLevel="1">
      <c r="A143" s="2579"/>
      <c r="B143" s="2649"/>
      <c r="C143" s="758">
        <v>1</v>
      </c>
      <c r="D143" s="2583" t="s">
        <v>1114</v>
      </c>
      <c r="E143" s="2583"/>
      <c r="F143" s="805"/>
    </row>
    <row r="144" spans="1:6" ht="14.45" hidden="1" customHeight="1" outlineLevel="1">
      <c r="A144" s="2579"/>
      <c r="B144" s="2649"/>
      <c r="C144" s="983"/>
      <c r="D144" s="2583"/>
      <c r="E144" s="2583"/>
      <c r="F144" s="805"/>
    </row>
    <row r="145" spans="1:6" ht="14.45" hidden="1" customHeight="1" outlineLevel="1" thickBot="1">
      <c r="A145" s="2579"/>
      <c r="B145" s="2649"/>
      <c r="C145" s="758"/>
      <c r="D145" s="2583"/>
      <c r="E145" s="2583"/>
      <c r="F145" s="805"/>
    </row>
    <row r="146" spans="1:6" ht="14.45" hidden="1" customHeight="1" outlineLevel="1">
      <c r="A146" s="2600" t="s">
        <v>1158</v>
      </c>
      <c r="B146" s="2652"/>
      <c r="C146" s="764"/>
      <c r="D146" s="2607" t="s">
        <v>571</v>
      </c>
      <c r="E146" s="2607"/>
      <c r="F146" s="2607"/>
    </row>
    <row r="147" spans="1:6" ht="14.45" hidden="1" customHeight="1" outlineLevel="1">
      <c r="A147" s="2601"/>
      <c r="B147" s="2653"/>
      <c r="C147" s="758">
        <v>1</v>
      </c>
      <c r="D147" s="2583" t="s">
        <v>1149</v>
      </c>
      <c r="E147" s="2583"/>
      <c r="F147" s="805" t="s">
        <v>134</v>
      </c>
    </row>
    <row r="148" spans="1:6" ht="14.45" hidden="1" customHeight="1" outlineLevel="1">
      <c r="A148" s="2601"/>
      <c r="B148" s="2653"/>
      <c r="C148" s="758">
        <v>2</v>
      </c>
      <c r="D148" s="2583" t="s">
        <v>1150</v>
      </c>
      <c r="E148" s="2583"/>
      <c r="F148" s="805"/>
    </row>
    <row r="149" spans="1:6" ht="14.45" hidden="1" customHeight="1" outlineLevel="1">
      <c r="A149" s="2601"/>
      <c r="B149" s="2653"/>
      <c r="C149" s="758">
        <v>3</v>
      </c>
      <c r="D149" s="2583"/>
      <c r="E149" s="2583"/>
      <c r="F149" s="805"/>
    </row>
    <row r="150" spans="1:6" ht="14.45" hidden="1" customHeight="1" outlineLevel="1" collapsed="1">
      <c r="A150" s="2601"/>
      <c r="B150" s="2653"/>
      <c r="C150" s="758"/>
      <c r="D150" s="2607" t="s">
        <v>572</v>
      </c>
      <c r="E150" s="2607"/>
      <c r="F150" s="2608"/>
    </row>
    <row r="151" spans="1:6" ht="14.45" hidden="1" customHeight="1" outlineLevel="1">
      <c r="A151" s="2601"/>
      <c r="B151" s="2653"/>
      <c r="C151" s="758">
        <v>1</v>
      </c>
      <c r="D151" s="2583" t="s">
        <v>1151</v>
      </c>
      <c r="E151" s="2583"/>
      <c r="F151" s="805"/>
    </row>
    <row r="152" spans="1:6" hidden="1" outlineLevel="1">
      <c r="A152" s="2601"/>
      <c r="B152" s="2653"/>
      <c r="C152" s="983">
        <v>2</v>
      </c>
      <c r="D152" s="2583" t="s">
        <v>1152</v>
      </c>
      <c r="E152" s="2583"/>
      <c r="F152" s="805"/>
    </row>
    <row r="153" spans="1:6" hidden="1" outlineLevel="1">
      <c r="A153" s="2601"/>
      <c r="B153" s="2653"/>
      <c r="C153" s="983">
        <v>3</v>
      </c>
      <c r="D153" s="2583" t="s">
        <v>1153</v>
      </c>
      <c r="E153" s="2583"/>
      <c r="F153" s="805"/>
    </row>
    <row r="154" spans="1:6" hidden="1" outlineLevel="1">
      <c r="A154" s="2601"/>
      <c r="B154" s="2653"/>
      <c r="C154" s="983">
        <v>4</v>
      </c>
      <c r="D154" s="2583" t="s">
        <v>1154</v>
      </c>
      <c r="E154" s="2583"/>
      <c r="F154" s="805"/>
    </row>
    <row r="155" spans="1:6" hidden="1" outlineLevel="1">
      <c r="A155" s="2601"/>
      <c r="B155" s="2653"/>
      <c r="C155" s="983">
        <v>5</v>
      </c>
      <c r="D155" s="2583" t="s">
        <v>1155</v>
      </c>
      <c r="E155" s="2583"/>
      <c r="F155" s="805"/>
    </row>
    <row r="156" spans="1:6" hidden="1" outlineLevel="1">
      <c r="A156" s="2601"/>
      <c r="B156" s="2653"/>
      <c r="C156" s="983">
        <v>6</v>
      </c>
      <c r="D156" s="2583" t="s">
        <v>1156</v>
      </c>
      <c r="E156" s="2583"/>
      <c r="F156" s="805"/>
    </row>
    <row r="157" spans="1:6" ht="15.75" hidden="1" outlineLevel="1" thickBot="1">
      <c r="A157" s="2601"/>
      <c r="B157" s="2653"/>
      <c r="C157" s="983">
        <v>7</v>
      </c>
      <c r="D157" s="2583" t="s">
        <v>1157</v>
      </c>
      <c r="E157" s="2583"/>
      <c r="F157" s="805"/>
    </row>
    <row r="158" spans="1:6" ht="14.45" hidden="1" customHeight="1" outlineLevel="1" collapsed="1">
      <c r="A158" s="2578" t="s">
        <v>1229</v>
      </c>
      <c r="B158" s="2602" t="s">
        <v>1238</v>
      </c>
      <c r="C158" s="764"/>
      <c r="D158" s="2607" t="s">
        <v>571</v>
      </c>
      <c r="E158" s="2607"/>
      <c r="F158" s="2607"/>
    </row>
    <row r="159" spans="1:6" ht="14.45" hidden="1" customHeight="1" outlineLevel="1">
      <c r="A159" s="2579"/>
      <c r="B159" s="2602"/>
      <c r="C159" s="758">
        <v>1</v>
      </c>
      <c r="D159" s="2583" t="s">
        <v>1176</v>
      </c>
      <c r="E159" s="2583"/>
      <c r="F159" s="805"/>
    </row>
    <row r="160" spans="1:6" ht="14.45" hidden="1" customHeight="1" outlineLevel="1">
      <c r="A160" s="2579"/>
      <c r="B160" s="2602"/>
      <c r="C160" s="758">
        <v>2</v>
      </c>
      <c r="D160" s="2583" t="s">
        <v>1220</v>
      </c>
      <c r="E160" s="2583"/>
      <c r="F160" s="805"/>
    </row>
    <row r="161" spans="1:6" ht="14.45" hidden="1" customHeight="1" outlineLevel="1">
      <c r="A161" s="2579"/>
      <c r="B161" s="2602"/>
      <c r="C161" s="758">
        <v>3</v>
      </c>
      <c r="D161" s="2583" t="s">
        <v>1177</v>
      </c>
      <c r="E161" s="2583"/>
      <c r="F161" s="805"/>
    </row>
    <row r="162" spans="1:6" ht="14.45" hidden="1" customHeight="1" outlineLevel="1">
      <c r="A162" s="2579"/>
      <c r="B162" s="2602"/>
      <c r="C162" s="758">
        <v>4</v>
      </c>
      <c r="D162" s="2583" t="s">
        <v>1178</v>
      </c>
      <c r="E162" s="2583"/>
      <c r="F162" s="805"/>
    </row>
    <row r="163" spans="1:6" ht="14.45" hidden="1" customHeight="1" outlineLevel="1" collapsed="1">
      <c r="A163" s="2579"/>
      <c r="B163" s="2602"/>
      <c r="C163" s="758"/>
      <c r="D163" s="2607" t="s">
        <v>572</v>
      </c>
      <c r="E163" s="2607"/>
      <c r="F163" s="2608"/>
    </row>
    <row r="164" spans="1:6" ht="14.45" hidden="1" customHeight="1" outlineLevel="1">
      <c r="A164" s="2579"/>
      <c r="B164" s="2602"/>
      <c r="C164" s="758">
        <v>1</v>
      </c>
      <c r="D164" s="2583" t="s">
        <v>1174</v>
      </c>
      <c r="E164" s="2583"/>
      <c r="F164" s="805"/>
    </row>
    <row r="165" spans="1:6" ht="15" hidden="1" customHeight="1" outlineLevel="1">
      <c r="A165" s="2579"/>
      <c r="B165" s="2602"/>
      <c r="C165" s="983">
        <v>2</v>
      </c>
      <c r="D165" s="2583" t="s">
        <v>1175</v>
      </c>
      <c r="E165" s="2583"/>
      <c r="F165" s="805"/>
    </row>
    <row r="166" spans="1:6" ht="15" hidden="1" customHeight="1" outlineLevel="1">
      <c r="A166" s="2579"/>
      <c r="B166" s="2602"/>
      <c r="C166" s="983">
        <v>3</v>
      </c>
      <c r="D166" s="2583" t="s">
        <v>1221</v>
      </c>
      <c r="E166" s="2583"/>
      <c r="F166" s="805"/>
    </row>
    <row r="167" spans="1:6" ht="22.5" hidden="1" customHeight="1" outlineLevel="1" collapsed="1">
      <c r="A167" s="2579"/>
      <c r="B167" s="2602" t="s">
        <v>1239</v>
      </c>
      <c r="C167" s="758"/>
      <c r="D167" s="2607" t="s">
        <v>572</v>
      </c>
      <c r="E167" s="2607"/>
      <c r="F167" s="2608"/>
    </row>
    <row r="168" spans="1:6" hidden="1" outlineLevel="1">
      <c r="A168" s="2579"/>
      <c r="B168" s="2602"/>
      <c r="C168" s="758">
        <v>1</v>
      </c>
      <c r="D168" s="2583" t="s">
        <v>1240</v>
      </c>
      <c r="E168" s="2583"/>
      <c r="F168" s="805"/>
    </row>
    <row r="169" spans="1:6" hidden="1" outlineLevel="1">
      <c r="A169" s="2579"/>
      <c r="B169" s="2602"/>
      <c r="C169" s="983">
        <v>2</v>
      </c>
      <c r="D169" s="2583" t="s">
        <v>1241</v>
      </c>
      <c r="E169" s="2583"/>
      <c r="F169" s="805"/>
    </row>
    <row r="170" spans="1:6" ht="22.5" hidden="1" customHeight="1" outlineLevel="1" collapsed="1">
      <c r="A170" s="2579"/>
      <c r="B170" s="2602" t="s">
        <v>1245</v>
      </c>
      <c r="C170" s="758"/>
      <c r="D170" s="2607" t="s">
        <v>572</v>
      </c>
      <c r="E170" s="2607"/>
      <c r="F170" s="2608"/>
    </row>
    <row r="171" spans="1:6" hidden="1" outlineLevel="1">
      <c r="A171" s="2579"/>
      <c r="B171" s="2602"/>
      <c r="C171" s="758">
        <v>1</v>
      </c>
      <c r="D171" s="2583" t="s">
        <v>1246</v>
      </c>
      <c r="E171" s="2583"/>
      <c r="F171" s="805"/>
    </row>
    <row r="172" spans="1:6" hidden="1" outlineLevel="1">
      <c r="A172" s="2579"/>
      <c r="B172" s="2648"/>
    </row>
    <row r="173" spans="1:6" ht="15" hidden="1" customHeight="1" outlineLevel="1" collapsed="1">
      <c r="A173" s="2538" t="s">
        <v>1441</v>
      </c>
      <c r="B173" s="2560"/>
      <c r="C173" s="1479"/>
      <c r="D173" s="2657" t="s">
        <v>571</v>
      </c>
      <c r="E173" s="2657"/>
      <c r="F173" s="2657"/>
    </row>
    <row r="174" spans="1:6" ht="15" hidden="1" customHeight="1" outlineLevel="1">
      <c r="A174" s="2538"/>
      <c r="B174" s="2560"/>
      <c r="C174" s="1479">
        <v>1</v>
      </c>
      <c r="D174" s="2593" t="s">
        <v>980</v>
      </c>
      <c r="E174" s="2593"/>
      <c r="F174" s="1596"/>
    </row>
    <row r="175" spans="1:6" ht="21" hidden="1" customHeight="1" outlineLevel="1">
      <c r="A175" s="2538"/>
      <c r="B175" s="2560"/>
      <c r="C175" s="1479">
        <v>2</v>
      </c>
      <c r="D175" s="2593" t="s">
        <v>1534</v>
      </c>
      <c r="E175" s="2593"/>
      <c r="F175" s="1480"/>
    </row>
    <row r="176" spans="1:6" ht="15.75" hidden="1" customHeight="1" outlineLevel="1">
      <c r="A176" s="2538"/>
      <c r="B176" s="2560"/>
      <c r="C176" s="2656">
        <v>3</v>
      </c>
      <c r="D176" s="2593" t="s">
        <v>1448</v>
      </c>
      <c r="E176" s="2593"/>
      <c r="F176" s="1482" t="s">
        <v>1449</v>
      </c>
    </row>
    <row r="177" spans="1:6" ht="17.25" hidden="1" customHeight="1" outlineLevel="1">
      <c r="A177" s="2538"/>
      <c r="B177" s="2560"/>
      <c r="C177" s="2656"/>
      <c r="D177" s="2593"/>
      <c r="E177" s="2593"/>
      <c r="F177" s="1482" t="s">
        <v>597</v>
      </c>
    </row>
    <row r="178" spans="1:6" ht="45.75" hidden="1" customHeight="1" outlineLevel="1">
      <c r="A178" s="2538"/>
      <c r="B178" s="2560"/>
      <c r="C178" s="1479">
        <v>4</v>
      </c>
      <c r="D178" s="2593" t="s">
        <v>1450</v>
      </c>
      <c r="E178" s="2593"/>
      <c r="F178" s="1591"/>
    </row>
    <row r="179" spans="1:6" ht="17.25" hidden="1" customHeight="1" outlineLevel="1">
      <c r="A179" s="2538"/>
      <c r="B179" s="2560"/>
      <c r="C179" s="1479">
        <v>5</v>
      </c>
      <c r="D179" s="2593" t="s">
        <v>1560</v>
      </c>
      <c r="E179" s="2593"/>
      <c r="F179" s="1482" t="s">
        <v>222</v>
      </c>
    </row>
    <row r="180" spans="1:6" ht="18.75" hidden="1" customHeight="1" outlineLevel="1">
      <c r="A180" s="2538"/>
      <c r="B180" s="2560"/>
      <c r="C180" s="1479"/>
      <c r="D180" s="2657" t="s">
        <v>572</v>
      </c>
      <c r="E180" s="2657"/>
      <c r="F180" s="2657"/>
    </row>
    <row r="181" spans="1:6" ht="15" hidden="1" customHeight="1" outlineLevel="2">
      <c r="A181" s="2538"/>
      <c r="B181" s="2560"/>
      <c r="C181" s="1479">
        <v>1</v>
      </c>
      <c r="D181" s="2594" t="s">
        <v>1524</v>
      </c>
      <c r="E181" s="2594"/>
      <c r="F181" s="1482" t="s">
        <v>222</v>
      </c>
    </row>
    <row r="182" spans="1:6" ht="15" hidden="1" customHeight="1" outlineLevel="2">
      <c r="A182" s="2538"/>
      <c r="B182" s="2560"/>
      <c r="C182" s="1479">
        <v>2</v>
      </c>
      <c r="D182" s="1481" t="s">
        <v>1525</v>
      </c>
      <c r="E182" s="1590"/>
      <c r="F182" s="1482" t="s">
        <v>1442</v>
      </c>
    </row>
    <row r="183" spans="1:6" ht="15" hidden="1" customHeight="1" outlineLevel="2">
      <c r="A183" s="2538"/>
      <c r="B183" s="2560"/>
      <c r="C183" s="2591">
        <v>3</v>
      </c>
      <c r="D183" s="2604" t="s">
        <v>1537</v>
      </c>
      <c r="E183" s="2604"/>
      <c r="F183" s="1482" t="s">
        <v>595</v>
      </c>
    </row>
    <row r="184" spans="1:6" ht="17.25" hidden="1" customHeight="1" outlineLevel="2">
      <c r="A184" s="2538"/>
      <c r="B184" s="2560"/>
      <c r="C184" s="2591"/>
      <c r="D184" s="2604"/>
      <c r="E184" s="2604"/>
      <c r="F184" s="2605" t="s">
        <v>1527</v>
      </c>
    </row>
    <row r="185" spans="1:6" ht="15" hidden="1" customHeight="1" outlineLevel="2">
      <c r="A185" s="2538"/>
      <c r="B185" s="2560"/>
      <c r="C185" s="1479">
        <v>4</v>
      </c>
      <c r="D185" s="1481" t="s">
        <v>1528</v>
      </c>
      <c r="E185" s="1590"/>
      <c r="F185" s="2605"/>
    </row>
    <row r="186" spans="1:6" ht="30.75" hidden="1" customHeight="1" outlineLevel="2">
      <c r="A186" s="2538"/>
      <c r="B186" s="2560"/>
      <c r="C186" s="1479">
        <v>5</v>
      </c>
      <c r="D186" s="2593" t="s">
        <v>1526</v>
      </c>
      <c r="E186" s="2593"/>
      <c r="F186" s="1591" t="s">
        <v>1057</v>
      </c>
    </row>
    <row r="187" spans="1:6" ht="15" hidden="1" customHeight="1" outlineLevel="2">
      <c r="A187" s="2538"/>
      <c r="B187" s="2560"/>
      <c r="C187" s="1479">
        <v>6</v>
      </c>
      <c r="D187" s="2594" t="s">
        <v>1529</v>
      </c>
      <c r="E187" s="2594"/>
      <c r="F187" s="1597" t="s">
        <v>595</v>
      </c>
    </row>
    <row r="188" spans="1:6" ht="15" hidden="1" customHeight="1" outlineLevel="2">
      <c r="A188" s="2538"/>
      <c r="B188" s="2560"/>
      <c r="C188" s="1479">
        <v>7</v>
      </c>
      <c r="D188" s="1590" t="s">
        <v>1543</v>
      </c>
      <c r="E188" s="1590"/>
      <c r="F188" s="1597" t="s">
        <v>718</v>
      </c>
    </row>
    <row r="189" spans="1:6" ht="31.5" hidden="1" customHeight="1" outlineLevel="2">
      <c r="A189" s="2538"/>
      <c r="B189" s="2560"/>
      <c r="C189" s="1479">
        <v>8</v>
      </c>
      <c r="D189" s="2593" t="s">
        <v>1562</v>
      </c>
      <c r="E189" s="2593"/>
      <c r="F189" s="2605" t="s">
        <v>505</v>
      </c>
    </row>
    <row r="190" spans="1:6" ht="18" hidden="1" customHeight="1" outlineLevel="2">
      <c r="A190" s="2538"/>
      <c r="B190" s="2560"/>
      <c r="C190" s="1479">
        <v>9</v>
      </c>
      <c r="D190" s="2593" t="s">
        <v>1561</v>
      </c>
      <c r="E190" s="2593"/>
      <c r="F190" s="2605"/>
    </row>
    <row r="191" spans="1:6" ht="21" hidden="1" customHeight="1" outlineLevel="2">
      <c r="A191" s="2538"/>
      <c r="B191" s="2560"/>
      <c r="C191" s="1479"/>
      <c r="D191" s="2603" t="s">
        <v>714</v>
      </c>
      <c r="E191" s="2603"/>
      <c r="F191" s="2603"/>
    </row>
    <row r="192" spans="1:6" ht="34.5" hidden="1" customHeight="1" outlineLevel="2">
      <c r="A192" s="2538"/>
      <c r="B192" s="2560"/>
      <c r="C192" s="1479">
        <v>1</v>
      </c>
      <c r="D192" s="2606" t="s">
        <v>1535</v>
      </c>
      <c r="E192" s="2606"/>
      <c r="F192" s="1597" t="s">
        <v>1530</v>
      </c>
    </row>
    <row r="193" spans="1:6" ht="30" hidden="1" customHeight="1" outlineLevel="2">
      <c r="A193" s="2538"/>
      <c r="B193" s="2560"/>
      <c r="C193" s="1479">
        <v>2</v>
      </c>
      <c r="D193" s="2593" t="s">
        <v>1533</v>
      </c>
      <c r="E193" s="2593"/>
      <c r="F193" s="1597" t="s">
        <v>1536</v>
      </c>
    </row>
    <row r="194" spans="1:6" ht="21.75" hidden="1" customHeight="1" outlineLevel="2">
      <c r="A194" s="2538"/>
      <c r="B194" s="2560"/>
      <c r="C194" s="1479"/>
      <c r="D194" s="2603" t="s">
        <v>622</v>
      </c>
      <c r="E194" s="2603"/>
      <c r="F194" s="2603"/>
    </row>
    <row r="195" spans="1:6" ht="63" hidden="1" customHeight="1" outlineLevel="2">
      <c r="A195" s="2538"/>
      <c r="B195" s="2560"/>
      <c r="C195" s="1479">
        <v>1</v>
      </c>
      <c r="D195" s="2593" t="s">
        <v>1531</v>
      </c>
      <c r="E195" s="2593"/>
      <c r="F195" s="1480"/>
    </row>
    <row r="196" spans="1:6" ht="45" hidden="1" customHeight="1" outlineLevel="2">
      <c r="A196" s="2538"/>
      <c r="B196" s="2560"/>
      <c r="C196" s="1479">
        <v>2</v>
      </c>
      <c r="D196" s="2593" t="s">
        <v>1563</v>
      </c>
      <c r="E196" s="2594"/>
      <c r="F196" s="1482" t="s">
        <v>1520</v>
      </c>
    </row>
    <row r="197" spans="1:6" ht="30" hidden="1" customHeight="1" outlineLevel="2">
      <c r="A197" s="2538"/>
      <c r="B197" s="2560"/>
      <c r="C197" s="1479">
        <v>3</v>
      </c>
      <c r="D197" s="2606" t="s">
        <v>1538</v>
      </c>
      <c r="E197" s="2606"/>
      <c r="F197" s="1480"/>
    </row>
    <row r="198" spans="1:6" ht="61.5" hidden="1" customHeight="1" outlineLevel="2">
      <c r="A198" s="2538"/>
      <c r="B198" s="2560"/>
      <c r="C198" s="1479">
        <v>4</v>
      </c>
      <c r="D198" s="2593" t="s">
        <v>1532</v>
      </c>
      <c r="E198" s="2593"/>
      <c r="F198" s="1480"/>
    </row>
    <row r="199" spans="1:6" ht="15" hidden="1" customHeight="1" outlineLevel="2">
      <c r="A199" s="2538"/>
      <c r="B199" s="2560"/>
      <c r="C199" s="2591">
        <v>5</v>
      </c>
      <c r="D199" s="2594" t="s">
        <v>1521</v>
      </c>
      <c r="E199" s="2594"/>
      <c r="F199" s="1482" t="s">
        <v>1522</v>
      </c>
    </row>
    <row r="200" spans="1:6" ht="15" hidden="1" customHeight="1" outlineLevel="2">
      <c r="A200" s="2538"/>
      <c r="B200" s="2560"/>
      <c r="C200" s="2591"/>
      <c r="D200" s="2594"/>
      <c r="E200" s="2594"/>
      <c r="F200" s="1482" t="s">
        <v>1520</v>
      </c>
    </row>
    <row r="201" spans="1:6" ht="15" hidden="1" customHeight="1" outlineLevel="2">
      <c r="A201" s="2538"/>
      <c r="B201" s="2560"/>
      <c r="C201" s="1479">
        <v>6</v>
      </c>
      <c r="D201" s="2594" t="s">
        <v>1523</v>
      </c>
      <c r="E201" s="2594"/>
      <c r="F201" s="1482" t="s">
        <v>1520</v>
      </c>
    </row>
    <row r="202" spans="1:6" ht="15" hidden="1" customHeight="1" outlineLevel="1">
      <c r="A202" s="2538"/>
      <c r="B202" s="2590" t="s">
        <v>1583</v>
      </c>
      <c r="C202" s="1479">
        <v>1</v>
      </c>
      <c r="D202" s="2594" t="s">
        <v>1580</v>
      </c>
      <c r="E202" s="2594"/>
      <c r="F202" s="1482" t="s">
        <v>1581</v>
      </c>
    </row>
    <row r="203" spans="1:6" ht="15" hidden="1" customHeight="1" outlineLevel="1">
      <c r="A203" s="2538"/>
      <c r="B203" s="2590"/>
      <c r="C203" s="1479">
        <v>2</v>
      </c>
      <c r="D203" s="2594" t="s">
        <v>1582</v>
      </c>
      <c r="E203" s="2594"/>
      <c r="F203" s="1482" t="s">
        <v>222</v>
      </c>
    </row>
    <row r="204" spans="1:6" ht="24" hidden="1" customHeight="1" outlineLevel="1">
      <c r="A204" s="2538"/>
      <c r="B204" s="1637" t="s">
        <v>1585</v>
      </c>
      <c r="C204" s="1479">
        <v>1</v>
      </c>
      <c r="D204" s="1481" t="s">
        <v>1586</v>
      </c>
      <c r="E204" s="1634"/>
      <c r="F204" s="1482" t="s">
        <v>1522</v>
      </c>
    </row>
    <row r="205" spans="1:6" ht="24" hidden="1" customHeight="1" outlineLevel="2">
      <c r="A205" s="2538"/>
      <c r="B205" s="2539" t="s">
        <v>1598</v>
      </c>
      <c r="C205" s="1479"/>
      <c r="D205" s="2597" t="s">
        <v>1601</v>
      </c>
      <c r="E205" s="2598"/>
      <c r="F205" s="1482"/>
    </row>
    <row r="206" spans="1:6" ht="27" hidden="1" customHeight="1" outlineLevel="1">
      <c r="A206" s="2538"/>
      <c r="B206" s="2539"/>
      <c r="C206" s="1479">
        <v>1</v>
      </c>
      <c r="D206" s="2658" t="s">
        <v>1589</v>
      </c>
      <c r="E206" s="2658"/>
      <c r="F206" s="1480"/>
    </row>
    <row r="207" spans="1:6" ht="21" hidden="1" customHeight="1" outlineLevel="1">
      <c r="A207" s="2538"/>
      <c r="B207" s="2539"/>
      <c r="C207" s="1479"/>
      <c r="D207" s="2595" t="s">
        <v>1600</v>
      </c>
      <c r="E207" s="2596"/>
      <c r="F207" s="1480"/>
    </row>
    <row r="208" spans="1:6" hidden="1" outlineLevel="1">
      <c r="A208" s="2538"/>
      <c r="B208" s="2539"/>
      <c r="C208" s="1479">
        <v>2</v>
      </c>
      <c r="D208" s="1480" t="s">
        <v>1599</v>
      </c>
      <c r="E208" s="1634"/>
      <c r="F208" s="1653" t="s">
        <v>222</v>
      </c>
    </row>
    <row r="209" spans="1:6" hidden="1" outlineLevel="1">
      <c r="A209" s="2538"/>
      <c r="B209" s="2539"/>
      <c r="C209" s="1479"/>
      <c r="D209" s="2597" t="s">
        <v>1602</v>
      </c>
      <c r="E209" s="2598"/>
      <c r="F209" s="1480"/>
    </row>
    <row r="210" spans="1:6" ht="90" hidden="1" outlineLevel="1">
      <c r="A210" s="2538"/>
      <c r="B210" s="2539"/>
      <c r="C210" s="1652">
        <v>3</v>
      </c>
      <c r="D210" s="1651" t="s">
        <v>1603</v>
      </c>
      <c r="E210" s="1650" t="s">
        <v>1610</v>
      </c>
    </row>
    <row r="211" spans="1:6" ht="27.75" hidden="1" customHeight="1" outlineLevel="1">
      <c r="A211" s="2538"/>
      <c r="B211" s="2539"/>
      <c r="C211" s="1479">
        <v>4</v>
      </c>
      <c r="D211" s="2599" t="s">
        <v>1604</v>
      </c>
      <c r="E211" s="2599"/>
      <c r="F211" s="1653" t="s">
        <v>1530</v>
      </c>
    </row>
    <row r="212" spans="1:6" hidden="1" outlineLevel="2" collapsed="1">
      <c r="A212" s="2538" t="s">
        <v>1707</v>
      </c>
      <c r="B212" s="2560"/>
      <c r="C212" s="1479"/>
      <c r="D212" s="2547" t="s">
        <v>1708</v>
      </c>
      <c r="E212" s="2547"/>
      <c r="F212" s="2547"/>
    </row>
    <row r="213" spans="1:6" hidden="1" outlineLevel="2">
      <c r="A213" s="2538"/>
      <c r="B213" s="2560"/>
      <c r="C213" s="1479">
        <v>1</v>
      </c>
      <c r="D213" s="2543" t="s">
        <v>1709</v>
      </c>
      <c r="E213" s="2543"/>
      <c r="F213" s="1480"/>
    </row>
    <row r="214" spans="1:6" hidden="1" outlineLevel="2">
      <c r="A214" s="2538"/>
      <c r="B214" s="2560"/>
      <c r="C214" s="1479"/>
      <c r="D214" s="2547" t="s">
        <v>1600</v>
      </c>
      <c r="E214" s="2547"/>
      <c r="F214" s="2547"/>
    </row>
    <row r="215" spans="1:6" hidden="1" outlineLevel="2">
      <c r="A215" s="2538"/>
      <c r="B215" s="2560"/>
      <c r="C215" s="1479">
        <v>2</v>
      </c>
      <c r="D215" s="1634" t="s">
        <v>1710</v>
      </c>
      <c r="E215" s="1634"/>
      <c r="F215" s="1653" t="s">
        <v>278</v>
      </c>
    </row>
    <row r="216" spans="1:6" hidden="1" outlineLevel="1">
      <c r="A216" s="2544" t="s">
        <v>1741</v>
      </c>
      <c r="B216" s="1713"/>
      <c r="C216" s="758"/>
      <c r="D216" s="2546" t="s">
        <v>1601</v>
      </c>
      <c r="E216" s="2546"/>
      <c r="F216" s="2546"/>
    </row>
    <row r="217" spans="1:6" hidden="1" outlineLevel="1">
      <c r="A217" s="2545"/>
      <c r="B217" s="1713"/>
      <c r="C217" s="758">
        <v>1</v>
      </c>
      <c r="D217" s="2659" t="s">
        <v>1732</v>
      </c>
      <c r="E217" s="2660"/>
      <c r="F217" s="1716" t="s">
        <v>1731</v>
      </c>
    </row>
    <row r="218" spans="1:6" hidden="1" outlineLevel="1">
      <c r="A218" s="2545"/>
      <c r="B218" s="1713"/>
      <c r="C218" s="758"/>
      <c r="D218" s="2547" t="s">
        <v>1600</v>
      </c>
      <c r="E218" s="2547"/>
      <c r="F218" s="2547"/>
    </row>
    <row r="219" spans="1:6" hidden="1" outlineLevel="1">
      <c r="A219" s="2545"/>
      <c r="B219" s="1713"/>
      <c r="C219" s="758">
        <v>2</v>
      </c>
      <c r="D219" s="1715" t="s">
        <v>1733</v>
      </c>
      <c r="E219" s="1714"/>
      <c r="F219" s="1716" t="s">
        <v>1734</v>
      </c>
    </row>
    <row r="220" spans="1:6" hidden="1" outlineLevel="1">
      <c r="A220" s="2545"/>
      <c r="B220" s="1713"/>
      <c r="C220" s="758"/>
      <c r="D220" s="2546" t="s">
        <v>1602</v>
      </c>
      <c r="E220" s="2546"/>
      <c r="F220" s="2546"/>
    </row>
    <row r="221" spans="1:6" hidden="1" outlineLevel="1">
      <c r="A221" s="2553"/>
      <c r="B221" s="1713"/>
      <c r="C221" s="758">
        <v>3</v>
      </c>
      <c r="D221" s="1715" t="s">
        <v>1735</v>
      </c>
      <c r="E221" s="1714"/>
      <c r="F221" s="1716" t="s">
        <v>1736</v>
      </c>
    </row>
    <row r="222" spans="1:6" hidden="1" outlineLevel="1" collapsed="1">
      <c r="A222" s="2544" t="s">
        <v>1749</v>
      </c>
      <c r="B222" s="1713"/>
      <c r="C222" s="758"/>
      <c r="D222" s="2546" t="s">
        <v>1750</v>
      </c>
      <c r="E222" s="2546"/>
      <c r="F222" s="2546"/>
    </row>
    <row r="223" spans="1:6" hidden="1" outlineLevel="1">
      <c r="A223" s="2545"/>
      <c r="B223" s="1713"/>
      <c r="C223" s="758">
        <v>1</v>
      </c>
      <c r="D223" s="2548" t="s">
        <v>1751</v>
      </c>
      <c r="E223" s="2549"/>
      <c r="F223" s="1716"/>
    </row>
    <row r="224" spans="1:6" hidden="1" outlineLevel="1">
      <c r="A224" s="2545"/>
      <c r="B224" s="1713"/>
      <c r="C224" s="758">
        <v>2</v>
      </c>
      <c r="D224" s="2548" t="s">
        <v>1753</v>
      </c>
      <c r="E224" s="2549"/>
      <c r="F224" s="1716"/>
    </row>
    <row r="225" spans="1:8" hidden="1" outlineLevel="1">
      <c r="A225" s="2545"/>
      <c r="B225" s="1713"/>
      <c r="C225" s="758"/>
      <c r="D225" s="2547" t="s">
        <v>1600</v>
      </c>
      <c r="E225" s="2547"/>
      <c r="F225" s="2547"/>
    </row>
    <row r="226" spans="1:8" hidden="1" outlineLevel="1">
      <c r="A226" s="2545"/>
      <c r="B226" s="1749"/>
      <c r="C226" s="625">
        <v>3</v>
      </c>
      <c r="D226" s="626" t="s">
        <v>1752</v>
      </c>
      <c r="E226" s="1750"/>
      <c r="F226" s="1751"/>
    </row>
    <row r="227" spans="1:8" hidden="1" outlineLevel="1" collapsed="1">
      <c r="A227" s="2554" t="s">
        <v>1757</v>
      </c>
      <c r="B227" s="1713"/>
      <c r="C227" s="758"/>
      <c r="D227" s="2546" t="s">
        <v>1750</v>
      </c>
      <c r="E227" s="2546"/>
      <c r="F227" s="2546"/>
    </row>
    <row r="228" spans="1:8" hidden="1" outlineLevel="1">
      <c r="A228" s="2554"/>
      <c r="B228" s="1713"/>
      <c r="C228" s="758">
        <v>1</v>
      </c>
      <c r="D228" s="2555" t="s">
        <v>1756</v>
      </c>
      <c r="E228" s="2555"/>
      <c r="F228" s="1716" t="s">
        <v>1137</v>
      </c>
    </row>
    <row r="229" spans="1:8" hidden="1" outlineLevel="1">
      <c r="A229" s="2554"/>
      <c r="B229" s="1713"/>
      <c r="C229" s="758"/>
      <c r="D229" s="2546" t="s">
        <v>1600</v>
      </c>
      <c r="E229" s="2546"/>
      <c r="F229" s="2546"/>
    </row>
    <row r="230" spans="1:8" ht="26.25" hidden="1" outlineLevel="1">
      <c r="A230" s="2554"/>
      <c r="B230" s="1713"/>
      <c r="C230" s="758">
        <v>2</v>
      </c>
      <c r="D230" s="1715" t="s">
        <v>1762</v>
      </c>
      <c r="E230" s="1752"/>
      <c r="F230" s="1716" t="s">
        <v>1761</v>
      </c>
      <c r="G230" s="205"/>
      <c r="H230" s="193"/>
    </row>
    <row r="231" spans="1:8" hidden="1" outlineLevel="1">
      <c r="A231" s="2554" t="s">
        <v>1780</v>
      </c>
      <c r="B231" s="2556"/>
      <c r="C231" s="758"/>
      <c r="D231" s="2546" t="s">
        <v>1600</v>
      </c>
      <c r="E231" s="2546"/>
      <c r="F231" s="2546"/>
    </row>
    <row r="232" spans="1:8" hidden="1" outlineLevel="1">
      <c r="A232" s="2554"/>
      <c r="B232" s="2557"/>
      <c r="C232" s="1816">
        <v>1</v>
      </c>
      <c r="D232" s="1817" t="s">
        <v>1779</v>
      </c>
      <c r="E232" s="1818"/>
      <c r="F232" s="1819" t="s">
        <v>1767</v>
      </c>
    </row>
    <row r="233" spans="1:8" hidden="1" outlineLevel="1">
      <c r="A233" s="2538" t="s">
        <v>1796</v>
      </c>
      <c r="B233" s="2560"/>
      <c r="C233" s="1824"/>
      <c r="D233" s="2547" t="s">
        <v>1750</v>
      </c>
      <c r="E233" s="2547"/>
      <c r="F233" s="2547"/>
    </row>
    <row r="234" spans="1:8" hidden="1" outlineLevel="1">
      <c r="A234" s="2538"/>
      <c r="B234" s="2560"/>
      <c r="C234" s="1824">
        <v>1</v>
      </c>
      <c r="D234" s="1480" t="s">
        <v>1782</v>
      </c>
      <c r="E234" s="1790"/>
      <c r="F234" s="1653"/>
    </row>
    <row r="235" spans="1:8" hidden="1" outlineLevel="1">
      <c r="A235" s="2538"/>
      <c r="B235" s="2560"/>
      <c r="C235" s="1824"/>
      <c r="D235" s="2547" t="s">
        <v>1600</v>
      </c>
      <c r="E235" s="2547"/>
      <c r="F235" s="2547"/>
    </row>
    <row r="236" spans="1:8" hidden="1" outlineLevel="1">
      <c r="A236" s="2538"/>
      <c r="B236" s="2560"/>
      <c r="C236" s="1824">
        <v>2</v>
      </c>
      <c r="D236" s="1480" t="s">
        <v>1794</v>
      </c>
      <c r="E236" s="1790"/>
      <c r="F236" s="1653" t="s">
        <v>505</v>
      </c>
    </row>
    <row r="237" spans="1:8" hidden="1" outlineLevel="1">
      <c r="A237" s="2538"/>
      <c r="B237" s="2560"/>
      <c r="C237" s="2563">
        <v>3</v>
      </c>
      <c r="D237" s="2562" t="s">
        <v>1799</v>
      </c>
      <c r="E237" s="2562"/>
      <c r="F237" s="1653" t="s">
        <v>1795</v>
      </c>
    </row>
    <row r="238" spans="1:8" hidden="1" outlineLevel="1">
      <c r="A238" s="2538"/>
      <c r="B238" s="2560"/>
      <c r="C238" s="2563"/>
      <c r="D238" s="2562"/>
      <c r="E238" s="2562"/>
      <c r="F238" s="1653" t="s">
        <v>1797</v>
      </c>
    </row>
    <row r="239" spans="1:8" ht="29.25" hidden="1" customHeight="1" outlineLevel="1">
      <c r="A239" s="2538"/>
      <c r="B239" s="2560"/>
      <c r="C239" s="1830">
        <v>4</v>
      </c>
      <c r="D239" s="2558" t="s">
        <v>1802</v>
      </c>
      <c r="E239" s="2559"/>
      <c r="F239" s="1823" t="s">
        <v>1800</v>
      </c>
      <c r="G239" s="1820"/>
    </row>
    <row r="240" spans="1:8" hidden="1" outlineLevel="1">
      <c r="A240" s="2538"/>
      <c r="B240" s="2561"/>
      <c r="C240" s="1479">
        <v>5</v>
      </c>
      <c r="D240" s="1822" t="s">
        <v>1801</v>
      </c>
      <c r="E240" s="1822"/>
      <c r="F240" s="1653" t="s">
        <v>279</v>
      </c>
    </row>
    <row r="241" spans="1:6" hidden="1" outlineLevel="1">
      <c r="A241" s="2538" t="s">
        <v>1850</v>
      </c>
      <c r="B241" s="2560"/>
      <c r="C241" s="1479"/>
      <c r="D241" s="2547" t="s">
        <v>1600</v>
      </c>
      <c r="E241" s="2547"/>
      <c r="F241" s="2547"/>
    </row>
    <row r="242" spans="1:6" hidden="1" outlineLevel="1">
      <c r="A242" s="2538"/>
      <c r="B242" s="2560"/>
      <c r="C242" s="1479">
        <v>1</v>
      </c>
      <c r="D242" s="1480" t="s">
        <v>1851</v>
      </c>
      <c r="E242" s="1898"/>
      <c r="F242" s="1653" t="s">
        <v>840</v>
      </c>
    </row>
    <row r="243" spans="1:6" hidden="1" outlineLevel="1">
      <c r="A243" s="2538"/>
      <c r="B243" s="2560"/>
      <c r="C243" s="1479">
        <v>2</v>
      </c>
      <c r="D243" s="2541" t="s">
        <v>1852</v>
      </c>
      <c r="E243" s="2542"/>
      <c r="F243" s="1653" t="s">
        <v>639</v>
      </c>
    </row>
    <row r="244" spans="1:6" hidden="1" outlineLevel="1">
      <c r="A244" s="2564" t="s">
        <v>1853</v>
      </c>
      <c r="B244" s="2556"/>
      <c r="C244" s="1479"/>
      <c r="D244" s="2547" t="s">
        <v>1600</v>
      </c>
      <c r="E244" s="2547"/>
      <c r="F244" s="2547"/>
    </row>
    <row r="245" spans="1:6" hidden="1" outlineLevel="1">
      <c r="A245" s="2553"/>
      <c r="B245" s="2557"/>
      <c r="C245" s="1479">
        <v>1</v>
      </c>
      <c r="D245" s="1480" t="s">
        <v>1854</v>
      </c>
      <c r="E245" s="1898"/>
      <c r="F245" s="1653"/>
    </row>
    <row r="246" spans="1:6" hidden="1" outlineLevel="1">
      <c r="A246" s="2564" t="s">
        <v>1853</v>
      </c>
      <c r="B246" s="2556"/>
      <c r="C246" s="1479"/>
      <c r="D246" s="2547" t="s">
        <v>1600</v>
      </c>
      <c r="E246" s="2547"/>
      <c r="F246" s="2547"/>
    </row>
    <row r="247" spans="1:6" hidden="1" outlineLevel="1">
      <c r="A247" s="2553"/>
      <c r="B247" s="2557"/>
      <c r="C247" s="1479">
        <v>1</v>
      </c>
      <c r="D247" s="113" t="s">
        <v>1855</v>
      </c>
      <c r="F247" s="1899" t="s">
        <v>1856</v>
      </c>
    </row>
    <row r="248" spans="1:6" hidden="1" outlineLevel="1">
      <c r="A248" s="2538" t="s">
        <v>1858</v>
      </c>
      <c r="B248" s="2560"/>
      <c r="C248" s="1479"/>
      <c r="D248" s="2547" t="s">
        <v>1600</v>
      </c>
      <c r="E248" s="2547"/>
      <c r="F248" s="2547"/>
    </row>
    <row r="249" spans="1:6" hidden="1" outlineLevel="1">
      <c r="A249" s="2538"/>
      <c r="B249" s="2560"/>
      <c r="C249" s="1479">
        <v>1</v>
      </c>
      <c r="D249" s="2543" t="s">
        <v>1859</v>
      </c>
      <c r="E249" s="2543"/>
      <c r="F249" s="1480"/>
    </row>
    <row r="250" spans="1:6" hidden="1" outlineLevel="1">
      <c r="A250" s="2538"/>
      <c r="B250" s="2560"/>
      <c r="C250" s="1479">
        <v>2</v>
      </c>
      <c r="D250" s="2541" t="s">
        <v>1860</v>
      </c>
      <c r="E250" s="2542"/>
      <c r="F250" s="1653" t="s">
        <v>1861</v>
      </c>
    </row>
    <row r="251" spans="1:6" hidden="1" outlineLevel="1">
      <c r="A251" s="2538" t="s">
        <v>1858</v>
      </c>
      <c r="B251" s="2560" t="s">
        <v>1843</v>
      </c>
      <c r="C251" s="1479"/>
      <c r="D251" s="2547" t="s">
        <v>1600</v>
      </c>
      <c r="E251" s="2547"/>
      <c r="F251" s="2547"/>
    </row>
    <row r="252" spans="1:6" hidden="1" outlineLevel="1">
      <c r="A252" s="2538"/>
      <c r="B252" s="2560"/>
      <c r="C252" s="1479">
        <v>1</v>
      </c>
      <c r="D252" s="1480" t="s">
        <v>1862</v>
      </c>
      <c r="E252" s="1898"/>
      <c r="F252" s="1653" t="s">
        <v>1010</v>
      </c>
    </row>
    <row r="253" spans="1:6" hidden="1" outlineLevel="1">
      <c r="A253" s="2538"/>
      <c r="B253" s="2560"/>
      <c r="C253" s="2591">
        <v>2</v>
      </c>
      <c r="D253" s="2599" t="s">
        <v>1863</v>
      </c>
      <c r="E253" s="2599"/>
      <c r="F253" s="2651" t="s">
        <v>1520</v>
      </c>
    </row>
    <row r="254" spans="1:6" hidden="1" outlineLevel="1">
      <c r="A254" s="2538"/>
      <c r="B254" s="2560"/>
      <c r="C254" s="2591"/>
      <c r="D254" s="2599"/>
      <c r="E254" s="2599"/>
      <c r="F254" s="2651"/>
    </row>
    <row r="255" spans="1:6" hidden="1" outlineLevel="1">
      <c r="A255" s="2538" t="s">
        <v>1858</v>
      </c>
      <c r="B255" s="2560" t="s">
        <v>1857</v>
      </c>
      <c r="C255" s="1479"/>
      <c r="D255" s="2547" t="s">
        <v>1600</v>
      </c>
      <c r="E255" s="2547"/>
      <c r="F255" s="2547"/>
    </row>
    <row r="256" spans="1:6" hidden="1" outlineLevel="1">
      <c r="A256" s="2538"/>
      <c r="B256" s="2560"/>
      <c r="C256" s="1479">
        <v>1</v>
      </c>
      <c r="D256" s="1480" t="s">
        <v>1833</v>
      </c>
      <c r="E256" s="1896"/>
      <c r="F256" s="1653" t="s">
        <v>1836</v>
      </c>
    </row>
    <row r="257" spans="1:6" hidden="1" outlineLevel="1">
      <c r="A257" s="2538"/>
      <c r="B257" s="2560"/>
      <c r="C257" s="1479">
        <v>2</v>
      </c>
      <c r="D257" s="2599" t="s">
        <v>1834</v>
      </c>
      <c r="E257" s="2599"/>
      <c r="F257" s="1653" t="s">
        <v>1835</v>
      </c>
    </row>
    <row r="258" spans="1:6" hidden="1" outlineLevel="1">
      <c r="A258" s="2538" t="s">
        <v>1858</v>
      </c>
      <c r="B258" s="2565" t="s">
        <v>1864</v>
      </c>
      <c r="C258" s="1479"/>
      <c r="D258" s="2547" t="s">
        <v>1600</v>
      </c>
      <c r="E258" s="2547"/>
      <c r="F258" s="2547"/>
    </row>
    <row r="259" spans="1:6" hidden="1" outlineLevel="1">
      <c r="A259" s="2564"/>
      <c r="B259" s="2566"/>
      <c r="C259" s="1816">
        <v>1</v>
      </c>
      <c r="D259" s="2654" t="s">
        <v>1844</v>
      </c>
      <c r="E259" s="2655"/>
      <c r="F259" s="1819" t="s">
        <v>595</v>
      </c>
    </row>
    <row r="260" spans="1:6" hidden="1" outlineLevel="1">
      <c r="A260" s="2661" t="s">
        <v>1865</v>
      </c>
      <c r="B260" s="2560"/>
      <c r="C260" s="1479"/>
      <c r="D260" s="2547" t="s">
        <v>1600</v>
      </c>
      <c r="E260" s="2547"/>
      <c r="F260" s="2547"/>
    </row>
    <row r="261" spans="1:6" hidden="1" outlineLevel="1">
      <c r="A261" s="2601"/>
      <c r="B261" s="2560"/>
      <c r="C261" s="1479">
        <v>1</v>
      </c>
      <c r="D261" s="2543" t="s">
        <v>1866</v>
      </c>
      <c r="E261" s="2543"/>
      <c r="F261" s="1653" t="s">
        <v>1530</v>
      </c>
    </row>
    <row r="262" spans="1:6" hidden="1" outlineLevel="1">
      <c r="A262" s="2601"/>
      <c r="B262" s="2560"/>
      <c r="C262" s="1479">
        <v>2</v>
      </c>
      <c r="D262" s="2543" t="s">
        <v>1869</v>
      </c>
      <c r="E262" s="2543"/>
      <c r="F262" s="1653" t="s">
        <v>222</v>
      </c>
    </row>
    <row r="263" spans="1:6" hidden="1" outlineLevel="1">
      <c r="A263" s="2601"/>
      <c r="B263" s="2560" t="s">
        <v>1843</v>
      </c>
      <c r="C263" s="1479"/>
      <c r="D263" s="2547" t="s">
        <v>1600</v>
      </c>
      <c r="E263" s="2547"/>
      <c r="F263" s="2547"/>
    </row>
    <row r="264" spans="1:6" ht="45.75" hidden="1" customHeight="1" outlineLevel="1">
      <c r="A264" s="2601"/>
      <c r="B264" s="2560"/>
      <c r="C264" s="1479">
        <v>1</v>
      </c>
      <c r="D264" s="2599" t="s">
        <v>1871</v>
      </c>
      <c r="E264" s="2599"/>
      <c r="F264" s="1653" t="s">
        <v>1872</v>
      </c>
    </row>
    <row r="265" spans="1:6" hidden="1" outlineLevel="1">
      <c r="A265" s="2601"/>
      <c r="B265" s="2560" t="s">
        <v>1857</v>
      </c>
      <c r="C265" s="1824"/>
      <c r="D265" s="2547" t="s">
        <v>1600</v>
      </c>
      <c r="E265" s="2547"/>
      <c r="F265" s="2547"/>
    </row>
    <row r="266" spans="1:6" hidden="1" outlineLevel="1">
      <c r="A266" s="2601"/>
      <c r="B266" s="2560"/>
      <c r="C266" s="1824">
        <v>1</v>
      </c>
      <c r="D266" s="2543" t="s">
        <v>1896</v>
      </c>
      <c r="E266" s="2543"/>
      <c r="F266" s="1653" t="s">
        <v>1897</v>
      </c>
    </row>
    <row r="267" spans="1:6" hidden="1" outlineLevel="1">
      <c r="A267" s="2601"/>
      <c r="B267" s="2560"/>
      <c r="C267" s="1926">
        <v>2</v>
      </c>
      <c r="D267" s="2599" t="s">
        <v>1898</v>
      </c>
      <c r="E267" s="2599"/>
      <c r="F267" s="1653" t="s">
        <v>1899</v>
      </c>
    </row>
    <row r="268" spans="1:6" hidden="1" outlineLevel="1">
      <c r="A268" s="2538" t="s">
        <v>1907</v>
      </c>
      <c r="B268" s="2560" t="s">
        <v>1864</v>
      </c>
      <c r="C268" s="1926"/>
      <c r="D268" s="2663" t="s">
        <v>1600</v>
      </c>
      <c r="E268" s="2663"/>
      <c r="F268" s="2663"/>
    </row>
    <row r="269" spans="1:6" hidden="1" outlineLevel="1">
      <c r="A269" s="2538"/>
      <c r="B269" s="2560"/>
      <c r="C269" s="1479">
        <v>1</v>
      </c>
      <c r="D269" s="2662" t="s">
        <v>1900</v>
      </c>
      <c r="E269" s="2662"/>
      <c r="F269" s="1927" t="s">
        <v>595</v>
      </c>
    </row>
    <row r="270" spans="1:6" hidden="1" outlineLevel="1">
      <c r="A270" s="2538"/>
      <c r="B270" s="2560"/>
      <c r="C270" s="1479">
        <v>2</v>
      </c>
      <c r="D270" s="2662" t="s">
        <v>1901</v>
      </c>
      <c r="E270" s="2662"/>
      <c r="F270" s="1653" t="s">
        <v>1527</v>
      </c>
    </row>
    <row r="271" spans="1:6" ht="18" hidden="1" customHeight="1" outlineLevel="1">
      <c r="A271" s="2538"/>
      <c r="B271" s="2560"/>
      <c r="C271" s="1479">
        <v>3</v>
      </c>
      <c r="D271" s="2599" t="s">
        <v>1911</v>
      </c>
      <c r="E271" s="2599"/>
      <c r="F271" s="1653" t="s">
        <v>1899</v>
      </c>
    </row>
    <row r="272" spans="1:6" hidden="1" outlineLevel="1">
      <c r="A272" s="2538"/>
      <c r="B272" s="2560"/>
      <c r="C272" s="1479">
        <v>4</v>
      </c>
      <c r="D272" s="2541" t="s">
        <v>1913</v>
      </c>
      <c r="E272" s="2542"/>
      <c r="F272" s="1653" t="s">
        <v>1912</v>
      </c>
    </row>
    <row r="273" spans="1:6" hidden="1" outlineLevel="1">
      <c r="A273" s="2564" t="s">
        <v>1916</v>
      </c>
      <c r="B273" s="2560" t="s">
        <v>1914</v>
      </c>
      <c r="C273" s="1479"/>
      <c r="D273" s="2663" t="s">
        <v>1600</v>
      </c>
      <c r="E273" s="2663"/>
      <c r="F273" s="2663"/>
    </row>
    <row r="274" spans="1:6" hidden="1" outlineLevel="1">
      <c r="A274" s="2553"/>
      <c r="B274" s="2560"/>
      <c r="C274" s="1479">
        <v>1</v>
      </c>
      <c r="D274" s="2541" t="s">
        <v>1915</v>
      </c>
      <c r="E274" s="2542"/>
      <c r="F274" s="1653" t="s">
        <v>603</v>
      </c>
    </row>
    <row r="275" spans="1:6" hidden="1" outlineLevel="1" collapsed="1">
      <c r="A275" s="2538" t="s">
        <v>1934</v>
      </c>
      <c r="B275" s="2560"/>
      <c r="C275" s="1479"/>
      <c r="D275" s="2597" t="s">
        <v>1600</v>
      </c>
      <c r="E275" s="2664"/>
      <c r="F275" s="2598"/>
    </row>
    <row r="276" spans="1:6" hidden="1" outlineLevel="1">
      <c r="A276" s="2538"/>
      <c r="B276" s="2560"/>
      <c r="C276" s="1479">
        <v>1</v>
      </c>
      <c r="D276" s="2541" t="s">
        <v>1941</v>
      </c>
      <c r="E276" s="2542"/>
      <c r="F276" s="1653" t="s">
        <v>1935</v>
      </c>
    </row>
    <row r="277" spans="1:6" hidden="1" outlineLevel="1">
      <c r="A277" s="2538"/>
      <c r="B277" s="2560"/>
      <c r="C277" s="1479">
        <v>2</v>
      </c>
      <c r="D277" s="2541" t="s">
        <v>1938</v>
      </c>
      <c r="E277" s="2542"/>
      <c r="F277" s="1653"/>
    </row>
    <row r="278" spans="1:6" hidden="1" outlineLevel="1">
      <c r="A278" s="2538"/>
      <c r="B278" s="2560"/>
      <c r="C278" s="1479">
        <v>3</v>
      </c>
      <c r="D278" s="2541" t="s">
        <v>1936</v>
      </c>
      <c r="E278" s="2542"/>
      <c r="F278" s="1653" t="s">
        <v>1937</v>
      </c>
    </row>
    <row r="279" spans="1:6" hidden="1" outlineLevel="1">
      <c r="A279" s="2538" t="s">
        <v>1934</v>
      </c>
      <c r="B279" s="2665" t="s">
        <v>1947</v>
      </c>
      <c r="C279" s="1479"/>
      <c r="D279" s="2540" t="s">
        <v>1600</v>
      </c>
      <c r="E279" s="2540"/>
      <c r="F279" s="2540"/>
    </row>
    <row r="280" spans="1:6" hidden="1" outlineLevel="1">
      <c r="A280" s="2538"/>
      <c r="B280" s="2617"/>
      <c r="C280" s="1479">
        <v>1</v>
      </c>
      <c r="D280" s="2543" t="s">
        <v>1946</v>
      </c>
      <c r="E280" s="2543"/>
      <c r="F280" s="1653" t="s">
        <v>1937</v>
      </c>
    </row>
    <row r="281" spans="1:6" hidden="1" outlineLevel="1">
      <c r="A281" s="2538"/>
      <c r="B281" s="2617"/>
      <c r="C281" s="1479">
        <v>2</v>
      </c>
      <c r="D281" s="2543" t="s">
        <v>1942</v>
      </c>
      <c r="E281" s="2543"/>
      <c r="F281" s="1653" t="s">
        <v>1861</v>
      </c>
    </row>
    <row r="282" spans="1:6" hidden="1" outlineLevel="1">
      <c r="A282" s="2538"/>
      <c r="B282" s="2666"/>
      <c r="C282" s="1479">
        <v>3</v>
      </c>
      <c r="D282" s="2541" t="s">
        <v>1943</v>
      </c>
      <c r="E282" s="2542"/>
      <c r="F282" s="1480"/>
    </row>
    <row r="283" spans="1:6" hidden="1" outlineLevel="1">
      <c r="A283" s="2661" t="s">
        <v>1934</v>
      </c>
      <c r="B283" s="2620" t="s">
        <v>2036</v>
      </c>
      <c r="C283" s="758"/>
      <c r="D283" s="2667" t="s">
        <v>1600</v>
      </c>
      <c r="E283" s="2667"/>
      <c r="F283" s="2667"/>
    </row>
    <row r="284" spans="1:6" hidden="1" outlineLevel="1">
      <c r="A284" s="2601"/>
      <c r="B284" s="2620"/>
      <c r="C284" s="758">
        <v>1</v>
      </c>
      <c r="D284" s="2555" t="s">
        <v>1966</v>
      </c>
      <c r="E284" s="2555"/>
      <c r="F284" s="1715"/>
    </row>
    <row r="285" spans="1:6" hidden="1" outlineLevel="1">
      <c r="A285" s="2601"/>
      <c r="B285" s="2620"/>
      <c r="C285" s="758">
        <v>2</v>
      </c>
      <c r="D285" s="2555" t="s">
        <v>1967</v>
      </c>
      <c r="E285" s="2555"/>
      <c r="F285" s="1715"/>
    </row>
    <row r="286" spans="1:6" hidden="1" outlineLevel="1">
      <c r="A286" s="2601"/>
      <c r="B286" s="2620"/>
      <c r="C286" s="758">
        <v>3</v>
      </c>
      <c r="D286" s="2555" t="s">
        <v>2008</v>
      </c>
      <c r="E286" s="2555"/>
      <c r="F286" s="1716" t="s">
        <v>1861</v>
      </c>
    </row>
    <row r="287" spans="1:6" hidden="1" outlineLevel="1">
      <c r="A287" s="2601"/>
      <c r="B287" s="2620"/>
      <c r="C287" s="758">
        <v>4</v>
      </c>
      <c r="D287" s="2555" t="s">
        <v>1976</v>
      </c>
      <c r="E287" s="2555"/>
      <c r="F287" s="1716" t="s">
        <v>2009</v>
      </c>
    </row>
    <row r="288" spans="1:6" hidden="1" outlineLevel="1">
      <c r="A288" s="2601"/>
      <c r="B288" s="2620"/>
      <c r="C288" s="758">
        <v>5</v>
      </c>
      <c r="D288" s="2555" t="s">
        <v>2041</v>
      </c>
      <c r="E288" s="2555"/>
      <c r="F288" s="1715"/>
    </row>
    <row r="289" spans="1:6" hidden="1" outlineLevel="1">
      <c r="A289" s="2601"/>
      <c r="B289" s="2620"/>
      <c r="C289" s="758">
        <v>6</v>
      </c>
      <c r="D289" s="2555" t="s">
        <v>2029</v>
      </c>
      <c r="E289" s="2555"/>
      <c r="F289" s="1715"/>
    </row>
    <row r="290" spans="1:6" ht="15" hidden="1" customHeight="1" outlineLevel="1">
      <c r="A290" s="2601"/>
      <c r="B290" s="2620" t="s">
        <v>2048</v>
      </c>
      <c r="C290" s="758"/>
      <c r="D290" s="2667" t="s">
        <v>1600</v>
      </c>
      <c r="E290" s="2667"/>
      <c r="F290" s="2667"/>
    </row>
    <row r="291" spans="1:6" hidden="1" outlineLevel="1">
      <c r="A291" s="2601"/>
      <c r="B291" s="2620"/>
      <c r="C291" s="758">
        <v>1</v>
      </c>
      <c r="D291" s="2555" t="s">
        <v>2047</v>
      </c>
      <c r="E291" s="2555"/>
      <c r="F291" s="1716" t="s">
        <v>222</v>
      </c>
    </row>
    <row r="292" spans="1:6" ht="29.25" hidden="1" customHeight="1" outlineLevel="1">
      <c r="A292" s="2601"/>
      <c r="B292" s="2620"/>
      <c r="C292" s="758">
        <v>2</v>
      </c>
      <c r="D292" s="2672" t="s">
        <v>2049</v>
      </c>
      <c r="E292" s="2672"/>
      <c r="F292" s="1716" t="s">
        <v>1010</v>
      </c>
    </row>
    <row r="293" spans="1:6" hidden="1" outlineLevel="1">
      <c r="A293" s="2601"/>
      <c r="B293" s="2620" t="s">
        <v>2054</v>
      </c>
      <c r="C293" s="758"/>
      <c r="D293" s="2667" t="s">
        <v>1600</v>
      </c>
      <c r="E293" s="2667"/>
      <c r="F293" s="2667"/>
    </row>
    <row r="294" spans="1:6" hidden="1" outlineLevel="1">
      <c r="A294" s="2601"/>
      <c r="B294" s="2620"/>
      <c r="C294" s="758">
        <v>1</v>
      </c>
      <c r="D294" s="2548" t="s">
        <v>2055</v>
      </c>
      <c r="E294" s="2549"/>
      <c r="F294" s="1716" t="s">
        <v>922</v>
      </c>
    </row>
    <row r="295" spans="1:6" hidden="1" outlineLevel="1">
      <c r="A295" s="2601"/>
      <c r="B295" s="2620" t="s">
        <v>2058</v>
      </c>
      <c r="C295" s="758"/>
      <c r="D295" s="2667" t="s">
        <v>1600</v>
      </c>
      <c r="E295" s="2667"/>
      <c r="F295" s="2667"/>
    </row>
    <row r="296" spans="1:6" hidden="1" outlineLevel="1">
      <c r="A296" s="2601"/>
      <c r="B296" s="2616"/>
      <c r="C296" s="625">
        <v>1</v>
      </c>
      <c r="D296" s="2670" t="s">
        <v>2057</v>
      </c>
      <c r="E296" s="2671"/>
      <c r="F296" s="1823" t="s">
        <v>222</v>
      </c>
    </row>
    <row r="297" spans="1:6" hidden="1" outlineLevel="1">
      <c r="A297" s="2661" t="s">
        <v>2059</v>
      </c>
      <c r="B297" s="2673"/>
      <c r="C297" s="2238"/>
      <c r="D297" s="2668" t="s">
        <v>1600</v>
      </c>
      <c r="E297" s="2668"/>
      <c r="F297" s="2668"/>
    </row>
    <row r="298" spans="1:6" hidden="1" outlineLevel="1">
      <c r="A298" s="2601"/>
      <c r="B298" s="2673"/>
      <c r="C298" s="2238">
        <v>1</v>
      </c>
      <c r="D298" s="2550" t="s">
        <v>2063</v>
      </c>
      <c r="E298" s="2550"/>
      <c r="F298" s="2239"/>
    </row>
    <row r="299" spans="1:6" hidden="1" outlineLevel="1">
      <c r="A299" s="2601"/>
      <c r="B299" s="2673"/>
      <c r="C299" s="2238">
        <v>2</v>
      </c>
      <c r="D299" s="2550" t="s">
        <v>2062</v>
      </c>
      <c r="E299" s="2550"/>
      <c r="F299" s="2239"/>
    </row>
    <row r="300" spans="1:6" hidden="1" outlineLevel="1">
      <c r="A300" s="2601"/>
      <c r="B300" s="2673"/>
      <c r="C300" s="2238">
        <v>3</v>
      </c>
      <c r="D300" s="2550" t="s">
        <v>2061</v>
      </c>
      <c r="E300" s="2550"/>
      <c r="F300" s="2239"/>
    </row>
    <row r="301" spans="1:6" hidden="1" outlineLevel="1">
      <c r="A301" s="2601"/>
      <c r="B301" s="2551" t="s">
        <v>2073</v>
      </c>
      <c r="C301" s="2238"/>
      <c r="D301" s="2668" t="s">
        <v>1600</v>
      </c>
      <c r="E301" s="2668"/>
      <c r="F301" s="2668"/>
    </row>
    <row r="302" spans="1:6" hidden="1" outlineLevel="1">
      <c r="A302" s="2601"/>
      <c r="B302" s="2551"/>
      <c r="C302" s="2238">
        <v>1</v>
      </c>
      <c r="D302" s="2550" t="s">
        <v>2071</v>
      </c>
      <c r="E302" s="2550"/>
      <c r="F302" s="2257" t="s">
        <v>2072</v>
      </c>
    </row>
    <row r="303" spans="1:6" ht="15" hidden="1" customHeight="1" outlineLevel="1">
      <c r="A303" s="2601"/>
      <c r="B303" s="2551" t="s">
        <v>2085</v>
      </c>
      <c r="C303" s="2238"/>
      <c r="D303" s="2668" t="s">
        <v>1600</v>
      </c>
      <c r="E303" s="2668"/>
      <c r="F303" s="2668"/>
    </row>
    <row r="304" spans="1:6" hidden="1" outlineLevel="1">
      <c r="A304" s="2601"/>
      <c r="B304" s="2551"/>
      <c r="C304" s="2238">
        <v>1</v>
      </c>
      <c r="D304" s="2550" t="s">
        <v>2074</v>
      </c>
      <c r="E304" s="2550"/>
      <c r="F304" s="2257" t="s">
        <v>2075</v>
      </c>
    </row>
    <row r="305" spans="1:6" hidden="1" outlineLevel="1">
      <c r="A305" s="2601"/>
      <c r="B305" s="2551"/>
      <c r="C305" s="2238">
        <v>2</v>
      </c>
      <c r="D305" s="2550" t="s">
        <v>2076</v>
      </c>
      <c r="E305" s="2550"/>
      <c r="F305" s="2257" t="s">
        <v>2086</v>
      </c>
    </row>
    <row r="306" spans="1:6" hidden="1" outlineLevel="1">
      <c r="A306" s="2601"/>
      <c r="B306" s="2551"/>
      <c r="C306" s="2238"/>
      <c r="D306" s="2550" t="s">
        <v>2077</v>
      </c>
      <c r="E306" s="2550"/>
      <c r="F306" s="2257" t="s">
        <v>2078</v>
      </c>
    </row>
    <row r="307" spans="1:6" hidden="1" outlineLevel="1">
      <c r="A307" s="2601"/>
      <c r="B307" s="2551" t="s">
        <v>2087</v>
      </c>
      <c r="C307" s="2238"/>
      <c r="D307" s="2668" t="s">
        <v>1600</v>
      </c>
      <c r="E307" s="2668"/>
      <c r="F307" s="2668"/>
    </row>
    <row r="308" spans="1:6" hidden="1" outlineLevel="1">
      <c r="A308" s="2601"/>
      <c r="B308" s="2551"/>
      <c r="C308" s="2238">
        <v>1</v>
      </c>
      <c r="D308" s="2550" t="s">
        <v>2092</v>
      </c>
      <c r="E308" s="2550"/>
      <c r="F308" s="2257" t="s">
        <v>1527</v>
      </c>
    </row>
    <row r="309" spans="1:6" ht="15" hidden="1" customHeight="1" outlineLevel="1">
      <c r="A309" s="2601"/>
      <c r="B309" s="2551" t="s">
        <v>2170</v>
      </c>
      <c r="C309" s="2238"/>
      <c r="D309" s="2668" t="s">
        <v>1600</v>
      </c>
      <c r="E309" s="2668"/>
      <c r="F309" s="2668"/>
    </row>
    <row r="310" spans="1:6" hidden="1" outlineLevel="1">
      <c r="A310" s="2601"/>
      <c r="B310" s="2551"/>
      <c r="C310" s="2238">
        <v>1</v>
      </c>
      <c r="D310" s="2550" t="s">
        <v>2124</v>
      </c>
      <c r="E310" s="2550"/>
      <c r="F310" s="2257" t="s">
        <v>1010</v>
      </c>
    </row>
    <row r="311" spans="1:6" hidden="1" outlineLevel="1">
      <c r="A311" s="2601"/>
      <c r="B311" s="2551"/>
      <c r="C311" s="2238">
        <v>2</v>
      </c>
      <c r="D311" s="2550" t="s">
        <v>2123</v>
      </c>
      <c r="E311" s="2550"/>
      <c r="F311" s="2317" t="s">
        <v>603</v>
      </c>
    </row>
    <row r="312" spans="1:6" hidden="1" outlineLevel="1">
      <c r="A312" s="2601"/>
      <c r="B312" s="2551"/>
      <c r="C312" s="2238">
        <v>3</v>
      </c>
      <c r="D312" s="2550" t="s">
        <v>2147</v>
      </c>
      <c r="E312" s="2550"/>
      <c r="F312" s="2239"/>
    </row>
    <row r="313" spans="1:6" hidden="1" outlineLevel="1">
      <c r="A313" s="2601"/>
      <c r="B313" s="2551"/>
      <c r="C313" s="2238">
        <v>4</v>
      </c>
      <c r="D313" s="2550" t="s">
        <v>2145</v>
      </c>
      <c r="E313" s="2550"/>
      <c r="F313" s="2257" t="s">
        <v>2072</v>
      </c>
    </row>
    <row r="314" spans="1:6" ht="32.25" hidden="1" customHeight="1" outlineLevel="1">
      <c r="A314" s="2601"/>
      <c r="B314" s="2551"/>
      <c r="C314" s="2238">
        <v>5</v>
      </c>
      <c r="D314" s="2552" t="s">
        <v>2146</v>
      </c>
      <c r="E314" s="2552"/>
      <c r="F314" s="2257" t="s">
        <v>594</v>
      </c>
    </row>
    <row r="315" spans="1:6" ht="15" hidden="1" customHeight="1" outlineLevel="1">
      <c r="A315" s="2601"/>
      <c r="B315" s="2551" t="s">
        <v>2171</v>
      </c>
      <c r="C315" s="2238"/>
      <c r="D315" s="2668" t="s">
        <v>1600</v>
      </c>
      <c r="E315" s="2668"/>
      <c r="F315" s="2668"/>
    </row>
    <row r="316" spans="1:6" ht="15.75" hidden="1" customHeight="1" outlineLevel="1">
      <c r="A316" s="2601"/>
      <c r="B316" s="2551"/>
      <c r="C316" s="2238">
        <v>1</v>
      </c>
      <c r="D316" s="2552" t="s">
        <v>2176</v>
      </c>
      <c r="E316" s="2552"/>
      <c r="F316" s="2257" t="s">
        <v>2177</v>
      </c>
    </row>
    <row r="317" spans="1:6" ht="30" hidden="1" customHeight="1" outlineLevel="1">
      <c r="A317" s="2601"/>
      <c r="B317" s="2551"/>
      <c r="C317" s="2238">
        <v>2</v>
      </c>
      <c r="D317" s="2552" t="s">
        <v>2183</v>
      </c>
      <c r="E317" s="2552"/>
      <c r="F317" s="2257" t="s">
        <v>2075</v>
      </c>
    </row>
    <row r="318" spans="1:6" hidden="1" outlineLevel="1">
      <c r="A318" s="2601"/>
      <c r="B318" s="2551" t="s">
        <v>2191</v>
      </c>
      <c r="D318" s="2668" t="s">
        <v>1600</v>
      </c>
      <c r="E318" s="2668"/>
      <c r="F318" s="2668"/>
    </row>
    <row r="319" spans="1:6" hidden="1" outlineLevel="1">
      <c r="A319" s="2601"/>
      <c r="B319" s="2551"/>
      <c r="C319" s="520">
        <v>1</v>
      </c>
      <c r="D319" s="2550" t="s">
        <v>2188</v>
      </c>
      <c r="E319" s="2550"/>
      <c r="F319" s="2257" t="s">
        <v>2189</v>
      </c>
    </row>
    <row r="320" spans="1:6" hidden="1" outlineLevel="1">
      <c r="A320" s="2601"/>
      <c r="B320" s="2665"/>
      <c r="C320" s="520">
        <v>2</v>
      </c>
      <c r="D320" s="2669" t="s">
        <v>2190</v>
      </c>
      <c r="E320" s="2669"/>
      <c r="F320" s="1817"/>
    </row>
    <row r="321" spans="1:6" collapsed="1">
      <c r="A321" s="2538" t="s">
        <v>2273</v>
      </c>
      <c r="B321" s="2539" t="s">
        <v>2272</v>
      </c>
      <c r="C321" s="1479"/>
      <c r="D321" s="2540" t="s">
        <v>1600</v>
      </c>
      <c r="E321" s="2540"/>
      <c r="F321" s="2540"/>
    </row>
    <row r="322" spans="1:6">
      <c r="A322" s="2538"/>
      <c r="B322" s="2539"/>
      <c r="C322" s="1479">
        <v>1</v>
      </c>
      <c r="D322" s="2543" t="s">
        <v>2063</v>
      </c>
      <c r="E322" s="2543"/>
      <c r="F322" s="1480"/>
    </row>
    <row r="323" spans="1:6">
      <c r="A323" s="2538"/>
      <c r="B323" s="2539" t="s">
        <v>2294</v>
      </c>
      <c r="C323" s="1479"/>
      <c r="D323" s="2540" t="s">
        <v>1600</v>
      </c>
      <c r="E323" s="2540"/>
      <c r="F323" s="2540"/>
    </row>
    <row r="324" spans="1:6">
      <c r="A324" s="2538"/>
      <c r="B324" s="2539"/>
      <c r="C324" s="1479">
        <v>1</v>
      </c>
      <c r="D324" s="2543" t="s">
        <v>2293</v>
      </c>
      <c r="E324" s="2543"/>
      <c r="F324" s="1653" t="s">
        <v>2075</v>
      </c>
    </row>
    <row r="325" spans="1:6">
      <c r="A325" s="2538"/>
      <c r="B325" s="2539" t="s">
        <v>2295</v>
      </c>
      <c r="C325" s="1479"/>
      <c r="D325" s="2540" t="s">
        <v>1600</v>
      </c>
      <c r="E325" s="2540"/>
      <c r="F325" s="2540"/>
    </row>
    <row r="326" spans="1:6">
      <c r="A326" s="2538"/>
      <c r="B326" s="2539"/>
      <c r="C326" s="1479">
        <v>1</v>
      </c>
      <c r="D326" s="2543" t="s">
        <v>2296</v>
      </c>
      <c r="E326" s="2543"/>
      <c r="F326" s="1653" t="s">
        <v>621</v>
      </c>
    </row>
    <row r="327" spans="1:6">
      <c r="A327" s="2538"/>
      <c r="B327" s="2539" t="s">
        <v>2297</v>
      </c>
      <c r="C327" s="1479"/>
      <c r="D327" s="2540" t="s">
        <v>1600</v>
      </c>
      <c r="E327" s="2540"/>
      <c r="F327" s="2540"/>
    </row>
    <row r="328" spans="1:6">
      <c r="A328" s="2538"/>
      <c r="B328" s="2539"/>
      <c r="C328" s="1479">
        <v>1</v>
      </c>
      <c r="D328" s="2543" t="s">
        <v>2298</v>
      </c>
      <c r="E328" s="2543"/>
      <c r="F328" s="1653" t="s">
        <v>1840</v>
      </c>
    </row>
  </sheetData>
  <mergeCells count="384">
    <mergeCell ref="A321:A328"/>
    <mergeCell ref="B327:B328"/>
    <mergeCell ref="D327:F327"/>
    <mergeCell ref="D328:E328"/>
    <mergeCell ref="D321:F321"/>
    <mergeCell ref="D322:E322"/>
    <mergeCell ref="B321:B322"/>
    <mergeCell ref="D315:F315"/>
    <mergeCell ref="D316:E316"/>
    <mergeCell ref="D289:E289"/>
    <mergeCell ref="B283:B289"/>
    <mergeCell ref="B293:B294"/>
    <mergeCell ref="D293:F293"/>
    <mergeCell ref="D287:E287"/>
    <mergeCell ref="D285:E285"/>
    <mergeCell ref="D298:E298"/>
    <mergeCell ref="D299:E299"/>
    <mergeCell ref="D297:F297"/>
    <mergeCell ref="B297:B300"/>
    <mergeCell ref="D309:F309"/>
    <mergeCell ref="D310:E310"/>
    <mergeCell ref="D311:E311"/>
    <mergeCell ref="B307:B308"/>
    <mergeCell ref="D307:F307"/>
    <mergeCell ref="D308:E308"/>
    <mergeCell ref="D288:E288"/>
    <mergeCell ref="D301:F301"/>
    <mergeCell ref="D302:E302"/>
    <mergeCell ref="B315:B317"/>
    <mergeCell ref="D317:E317"/>
    <mergeCell ref="D312:E312"/>
    <mergeCell ref="A283:A296"/>
    <mergeCell ref="D283:F283"/>
    <mergeCell ref="D284:E284"/>
    <mergeCell ref="A297:A320"/>
    <mergeCell ref="B318:B320"/>
    <mergeCell ref="D318:F318"/>
    <mergeCell ref="D319:E319"/>
    <mergeCell ref="D320:E320"/>
    <mergeCell ref="D286:E286"/>
    <mergeCell ref="D306:E306"/>
    <mergeCell ref="B295:B296"/>
    <mergeCell ref="D295:F295"/>
    <mergeCell ref="D296:E296"/>
    <mergeCell ref="D294:E294"/>
    <mergeCell ref="D290:F290"/>
    <mergeCell ref="D291:E291"/>
    <mergeCell ref="D292:E292"/>
    <mergeCell ref="B290:B292"/>
    <mergeCell ref="D300:E300"/>
    <mergeCell ref="D303:F303"/>
    <mergeCell ref="B303:B306"/>
    <mergeCell ref="D304:E304"/>
    <mergeCell ref="D305:E305"/>
    <mergeCell ref="B301:B302"/>
    <mergeCell ref="D269:E269"/>
    <mergeCell ref="D270:E270"/>
    <mergeCell ref="A279:A282"/>
    <mergeCell ref="A268:A272"/>
    <mergeCell ref="B268:B272"/>
    <mergeCell ref="D272:E272"/>
    <mergeCell ref="D268:F268"/>
    <mergeCell ref="D277:E277"/>
    <mergeCell ref="D275:F275"/>
    <mergeCell ref="D276:E276"/>
    <mergeCell ref="A273:A274"/>
    <mergeCell ref="B273:B274"/>
    <mergeCell ref="D274:E274"/>
    <mergeCell ref="D273:F273"/>
    <mergeCell ref="D278:E278"/>
    <mergeCell ref="A275:A278"/>
    <mergeCell ref="B275:B278"/>
    <mergeCell ref="D271:E271"/>
    <mergeCell ref="B279:B282"/>
    <mergeCell ref="D279:F279"/>
    <mergeCell ref="D280:E280"/>
    <mergeCell ref="D281:E281"/>
    <mergeCell ref="D282:E282"/>
    <mergeCell ref="D260:F260"/>
    <mergeCell ref="D261:E261"/>
    <mergeCell ref="A260:A267"/>
    <mergeCell ref="B265:B267"/>
    <mergeCell ref="D267:E267"/>
    <mergeCell ref="D265:F265"/>
    <mergeCell ref="D264:E264"/>
    <mergeCell ref="D266:E266"/>
    <mergeCell ref="D262:E262"/>
    <mergeCell ref="B260:B262"/>
    <mergeCell ref="D263:F263"/>
    <mergeCell ref="B263:B264"/>
    <mergeCell ref="B170:B172"/>
    <mergeCell ref="B173:B201"/>
    <mergeCell ref="D189:E189"/>
    <mergeCell ref="F189:F190"/>
    <mergeCell ref="C176:C177"/>
    <mergeCell ref="C183:C184"/>
    <mergeCell ref="D173:F173"/>
    <mergeCell ref="D180:F180"/>
    <mergeCell ref="D206:E206"/>
    <mergeCell ref="D203:E203"/>
    <mergeCell ref="D213:E213"/>
    <mergeCell ref="D216:F216"/>
    <mergeCell ref="D218:F218"/>
    <mergeCell ref="D214:F214"/>
    <mergeCell ref="D229:F229"/>
    <mergeCell ref="D217:E217"/>
    <mergeCell ref="D250:E250"/>
    <mergeCell ref="D255:F255"/>
    <mergeCell ref="B255:B257"/>
    <mergeCell ref="D257:E257"/>
    <mergeCell ref="A246:A247"/>
    <mergeCell ref="B246:B247"/>
    <mergeCell ref="D246:F246"/>
    <mergeCell ref="A248:A250"/>
    <mergeCell ref="B248:B250"/>
    <mergeCell ref="B146:B157"/>
    <mergeCell ref="D161:E161"/>
    <mergeCell ref="A227:A230"/>
    <mergeCell ref="D259:E259"/>
    <mergeCell ref="A255:A257"/>
    <mergeCell ref="B142:B145"/>
    <mergeCell ref="D146:F146"/>
    <mergeCell ref="D140:E140"/>
    <mergeCell ref="D141:E141"/>
    <mergeCell ref="D167:F167"/>
    <mergeCell ref="A130:A134"/>
    <mergeCell ref="B130:B131"/>
    <mergeCell ref="D130:F130"/>
    <mergeCell ref="D131:E131"/>
    <mergeCell ref="B133:B134"/>
    <mergeCell ref="D133:F133"/>
    <mergeCell ref="D134:E134"/>
    <mergeCell ref="D132:E132"/>
    <mergeCell ref="D154:E154"/>
    <mergeCell ref="D148:E148"/>
    <mergeCell ref="D149:E149"/>
    <mergeCell ref="D150:F150"/>
    <mergeCell ref="D151:E151"/>
    <mergeCell ref="D152:E152"/>
    <mergeCell ref="A142:A145"/>
    <mergeCell ref="B167:B169"/>
    <mergeCell ref="B135:B141"/>
    <mergeCell ref="D137:E137"/>
    <mergeCell ref="D142:F142"/>
    <mergeCell ref="A7:A12"/>
    <mergeCell ref="B10:B12"/>
    <mergeCell ref="B14:B15"/>
    <mergeCell ref="B18:B19"/>
    <mergeCell ref="B8:B9"/>
    <mergeCell ref="A13:A19"/>
    <mergeCell ref="D49:E49"/>
    <mergeCell ref="D50:E50"/>
    <mergeCell ref="D31:E31"/>
    <mergeCell ref="D32:E32"/>
    <mergeCell ref="D26:E26"/>
    <mergeCell ref="D27:E27"/>
    <mergeCell ref="D35:E35"/>
    <mergeCell ref="D30:E30"/>
    <mergeCell ref="D7:F7"/>
    <mergeCell ref="D13:F13"/>
    <mergeCell ref="B20:B38"/>
    <mergeCell ref="D28:F28"/>
    <mergeCell ref="D20:F20"/>
    <mergeCell ref="D34:F34"/>
    <mergeCell ref="D33:E33"/>
    <mergeCell ref="D38:E38"/>
    <mergeCell ref="D21:E21"/>
    <mergeCell ref="D22:E22"/>
    <mergeCell ref="D36:E36"/>
    <mergeCell ref="A41:A52"/>
    <mergeCell ref="B51:B52"/>
    <mergeCell ref="D45:E45"/>
    <mergeCell ref="D46:E46"/>
    <mergeCell ref="D48:E48"/>
    <mergeCell ref="A20:A40"/>
    <mergeCell ref="B41:B50"/>
    <mergeCell ref="D41:F41"/>
    <mergeCell ref="D42:E42"/>
    <mergeCell ref="B39:B40"/>
    <mergeCell ref="D43:F43"/>
    <mergeCell ref="D47:F47"/>
    <mergeCell ref="D44:E44"/>
    <mergeCell ref="D23:E23"/>
    <mergeCell ref="D24:E24"/>
    <mergeCell ref="D37:E37"/>
    <mergeCell ref="D25:E25"/>
    <mergeCell ref="D29:E29"/>
    <mergeCell ref="A53:A72"/>
    <mergeCell ref="D73:F73"/>
    <mergeCell ref="D74:E74"/>
    <mergeCell ref="B63:B66"/>
    <mergeCell ref="D63:E63"/>
    <mergeCell ref="B53:B62"/>
    <mergeCell ref="D58:E58"/>
    <mergeCell ref="D61:E61"/>
    <mergeCell ref="D62:E62"/>
    <mergeCell ref="D56:F56"/>
    <mergeCell ref="D60:E60"/>
    <mergeCell ref="D57:E57"/>
    <mergeCell ref="D55:E55"/>
    <mergeCell ref="D53:E53"/>
    <mergeCell ref="D54:E54"/>
    <mergeCell ref="D59:F59"/>
    <mergeCell ref="B67:B71"/>
    <mergeCell ref="B73:B77"/>
    <mergeCell ref="D75:F75"/>
    <mergeCell ref="D76:E76"/>
    <mergeCell ref="D77:E77"/>
    <mergeCell ref="A73:A77"/>
    <mergeCell ref="D64:E64"/>
    <mergeCell ref="D65:E65"/>
    <mergeCell ref="B97:B100"/>
    <mergeCell ref="B95:B96"/>
    <mergeCell ref="D92:F92"/>
    <mergeCell ref="D100:E100"/>
    <mergeCell ref="D98:E98"/>
    <mergeCell ref="D99:E99"/>
    <mergeCell ref="B120:B121"/>
    <mergeCell ref="B109:B117"/>
    <mergeCell ref="D109:F109"/>
    <mergeCell ref="D110:E110"/>
    <mergeCell ref="D94:E94"/>
    <mergeCell ref="D97:F97"/>
    <mergeCell ref="D95:F95"/>
    <mergeCell ref="D118:F118"/>
    <mergeCell ref="D119:E119"/>
    <mergeCell ref="D121:E121"/>
    <mergeCell ref="D202:E202"/>
    <mergeCell ref="A78:A100"/>
    <mergeCell ref="D83:E83"/>
    <mergeCell ref="D82:E82"/>
    <mergeCell ref="B86:B89"/>
    <mergeCell ref="D86:F86"/>
    <mergeCell ref="D104:F104"/>
    <mergeCell ref="D107:F107"/>
    <mergeCell ref="D111:E111"/>
    <mergeCell ref="D112:F112"/>
    <mergeCell ref="D113:E113"/>
    <mergeCell ref="D108:E108"/>
    <mergeCell ref="B101:B108"/>
    <mergeCell ref="D101:F101"/>
    <mergeCell ref="D102:E102"/>
    <mergeCell ref="D105:E105"/>
    <mergeCell ref="D103:E103"/>
    <mergeCell ref="D90:F90"/>
    <mergeCell ref="B118:B119"/>
    <mergeCell ref="D117:E117"/>
    <mergeCell ref="D115:E115"/>
    <mergeCell ref="D114:E114"/>
    <mergeCell ref="D120:F120"/>
    <mergeCell ref="B90:B94"/>
    <mergeCell ref="D143:E143"/>
    <mergeCell ref="D87:F87"/>
    <mergeCell ref="D96:E96"/>
    <mergeCell ref="D88:F88"/>
    <mergeCell ref="D89:E89"/>
    <mergeCell ref="D93:E93"/>
    <mergeCell ref="D144:E144"/>
    <mergeCell ref="D138:E138"/>
    <mergeCell ref="D147:E147"/>
    <mergeCell ref="D128:F128"/>
    <mergeCell ref="D129:E129"/>
    <mergeCell ref="D139:F139"/>
    <mergeCell ref="D136:E136"/>
    <mergeCell ref="D135:F135"/>
    <mergeCell ref="D124:E124"/>
    <mergeCell ref="D127:E127"/>
    <mergeCell ref="D125:E125"/>
    <mergeCell ref="D126:E126"/>
    <mergeCell ref="D168:E168"/>
    <mergeCell ref="D174:E174"/>
    <mergeCell ref="D190:E190"/>
    <mergeCell ref="D178:E178"/>
    <mergeCell ref="D197:E197"/>
    <mergeCell ref="D193:E193"/>
    <mergeCell ref="D186:E186"/>
    <mergeCell ref="D170:F170"/>
    <mergeCell ref="D171:E171"/>
    <mergeCell ref="D191:F191"/>
    <mergeCell ref="D181:E181"/>
    <mergeCell ref="D187:E187"/>
    <mergeCell ref="D176:E177"/>
    <mergeCell ref="D162:E162"/>
    <mergeCell ref="D163:F163"/>
    <mergeCell ref="D158:F158"/>
    <mergeCell ref="D160:E160"/>
    <mergeCell ref="D145:E145"/>
    <mergeCell ref="D155:E155"/>
    <mergeCell ref="D156:E156"/>
    <mergeCell ref="D207:E207"/>
    <mergeCell ref="D209:E209"/>
    <mergeCell ref="D211:E211"/>
    <mergeCell ref="A146:A157"/>
    <mergeCell ref="D196:E196"/>
    <mergeCell ref="A173:A211"/>
    <mergeCell ref="A158:A172"/>
    <mergeCell ref="D169:E169"/>
    <mergeCell ref="B158:B166"/>
    <mergeCell ref="D194:F194"/>
    <mergeCell ref="D183:E184"/>
    <mergeCell ref="F184:F185"/>
    <mergeCell ref="D192:E192"/>
    <mergeCell ref="D179:E179"/>
    <mergeCell ref="D205:E205"/>
    <mergeCell ref="D164:E164"/>
    <mergeCell ref="D165:E165"/>
    <mergeCell ref="D166:E166"/>
    <mergeCell ref="D195:E195"/>
    <mergeCell ref="D175:E175"/>
    <mergeCell ref="D199:E200"/>
    <mergeCell ref="D159:E159"/>
    <mergeCell ref="D153:E153"/>
    <mergeCell ref="D157:E157"/>
    <mergeCell ref="A101:A108"/>
    <mergeCell ref="D80:F80"/>
    <mergeCell ref="D81:E81"/>
    <mergeCell ref="B122:B127"/>
    <mergeCell ref="A109:A119"/>
    <mergeCell ref="B128:B129"/>
    <mergeCell ref="A120:A129"/>
    <mergeCell ref="D91:F91"/>
    <mergeCell ref="B212:B215"/>
    <mergeCell ref="D212:F212"/>
    <mergeCell ref="D116:F116"/>
    <mergeCell ref="D122:F122"/>
    <mergeCell ref="D123:E123"/>
    <mergeCell ref="D84:E84"/>
    <mergeCell ref="D85:E85"/>
    <mergeCell ref="B78:B85"/>
    <mergeCell ref="D79:F79"/>
    <mergeCell ref="D78:F78"/>
    <mergeCell ref="B205:B211"/>
    <mergeCell ref="B202:B203"/>
    <mergeCell ref="C199:C200"/>
    <mergeCell ref="A135:A141"/>
    <mergeCell ref="D198:E198"/>
    <mergeCell ref="D201:E201"/>
    <mergeCell ref="A212:A215"/>
    <mergeCell ref="D223:E223"/>
    <mergeCell ref="D313:E313"/>
    <mergeCell ref="B309:B314"/>
    <mergeCell ref="D314:E314"/>
    <mergeCell ref="D224:E224"/>
    <mergeCell ref="D231:F231"/>
    <mergeCell ref="D220:F220"/>
    <mergeCell ref="A216:A221"/>
    <mergeCell ref="A231:A232"/>
    <mergeCell ref="D227:F227"/>
    <mergeCell ref="D228:E228"/>
    <mergeCell ref="B231:B232"/>
    <mergeCell ref="D239:E239"/>
    <mergeCell ref="A233:A240"/>
    <mergeCell ref="B233:B240"/>
    <mergeCell ref="D235:F235"/>
    <mergeCell ref="D237:E238"/>
    <mergeCell ref="C237:C238"/>
    <mergeCell ref="D233:F233"/>
    <mergeCell ref="D258:F258"/>
    <mergeCell ref="A258:A259"/>
    <mergeCell ref="B258:B259"/>
    <mergeCell ref="D248:F248"/>
    <mergeCell ref="B325:B326"/>
    <mergeCell ref="D325:F325"/>
    <mergeCell ref="D326:E326"/>
    <mergeCell ref="B323:B324"/>
    <mergeCell ref="D323:F323"/>
    <mergeCell ref="D324:E324"/>
    <mergeCell ref="A222:A226"/>
    <mergeCell ref="D222:F222"/>
    <mergeCell ref="D225:F225"/>
    <mergeCell ref="A251:A254"/>
    <mergeCell ref="B251:B254"/>
    <mergeCell ref="D251:F251"/>
    <mergeCell ref="C253:C254"/>
    <mergeCell ref="D253:E254"/>
    <mergeCell ref="F253:F254"/>
    <mergeCell ref="D249:E249"/>
    <mergeCell ref="A241:A243"/>
    <mergeCell ref="B241:B243"/>
    <mergeCell ref="D241:F241"/>
    <mergeCell ref="D243:E243"/>
    <mergeCell ref="A244:A245"/>
    <mergeCell ref="B244:B245"/>
    <mergeCell ref="D244:F244"/>
  </mergeCells>
  <hyperlinks>
    <hyperlink ref="F21" location="'E-Classic'!A1" display="E-Classic"/>
    <hyperlink ref="F26" location="'Перегородки STEEL'!A1" display="Перегородки STEEL"/>
    <hyperlink ref="F27" location="'Перегородки Grazia'!A1" display="Перегородки Grazia"/>
    <hyperlink ref="F29" location="Elegance!A1" display="Elegance"/>
    <hyperlink ref="F30" location="'Modern Turin'!A1" display="Modern Turin"/>
    <hyperlink ref="F31" location="Погонаж!A1" display="Погонаж, Плинтуса"/>
    <hyperlink ref="F32" location="'Стен. панели'!A1" display="Стен. Панели"/>
    <hyperlink ref="F33" location="Покрытия_свод_шпон_эмаль!A1" display="Покрытия"/>
    <hyperlink ref="F35" location="'Рекламная продукция'!A1" display="Рекламная продукция"/>
    <hyperlink ref="F36" location="'Стен. панели'!A1" display="Стен. Панели, Прочие конструкции"/>
    <hyperlink ref="F37" location="Погонаж!A32" display="Погонаж"/>
    <hyperlink ref="F38" location="'скидки розница'!A1" display="Скидки розница"/>
    <hyperlink ref="F25" location="Design!A1" display="Design"/>
    <hyperlink ref="F22" location="Fusion!A1" display="Fusion"/>
    <hyperlink ref="F24" location="Techno!A1" display="Techno"/>
    <hyperlink ref="F23" location="'Provеnce Sienna'!A1" display="Sienna"/>
    <hyperlink ref="F39" location="'Ограничения по размерам'!A1" display="Ограничения по размерам"/>
    <hyperlink ref="F40" location="'Доп. размеры погонажа'!A1" display="Доп. размеры погонажа"/>
    <hyperlink ref="F50" location="'Доп. размеры погонажа'!A1" display="Доп. размеры погонажа"/>
    <hyperlink ref="F44" location="'Погонаж для прочих'!A1" display="Прочий погонаж"/>
    <hyperlink ref="F48" location="'Ограничения по размерам'!A1" display="Ограничения по размерам"/>
    <hyperlink ref="F49" location="'Применение систем открыв'!A1" display="Применение систем открывания"/>
    <hyperlink ref="F45" location="'Стен. панели'!A1" display="Стен. Панели, Прочие конструкции"/>
    <hyperlink ref="F46" location="'Перегородки Corsa'!A1" display="Перегородки Corsa, Grazia"/>
    <hyperlink ref="F51" location="'Перегородки STEEL '!A1" display="Перегородки STEEL"/>
    <hyperlink ref="F54" location="'E-Classic design'!A1" display="E-classic design"/>
    <hyperlink ref="F55" location="Twist!A1" display="Twist"/>
    <hyperlink ref="F63" location="'Neoclassic Florence'!A1" display="Neoclassic Florence"/>
    <hyperlink ref="F64" location="'Standart Strada'!A1" display="Standart Strada"/>
    <hyperlink ref="F66" location="Порталы!A1" display="Порталы"/>
    <hyperlink ref="F65" location="Techno!A1" display="Techno"/>
    <hyperlink ref="F67" location="'Покрытия_artex '!A1" display="Покрытия_artex "/>
    <hyperlink ref="F68" location="Погонаж!A1" display="Погонаж"/>
    <hyperlink ref="F69" location="'Перегородки Grazia'!A1" display="Перегородки Grazia"/>
    <hyperlink ref="F70" location="Погонаж!A1" display="Погонаж"/>
    <hyperlink ref="F71" location="Погонаж!A1" display="Погонаж"/>
    <hyperlink ref="F76" location="'Покрытия_artex '!A1" display="'Покрытия_artex '!A1"/>
    <hyperlink ref="F77" location="'Покрытия_artex '!A1" display="'Покрытия_artex '!A1"/>
    <hyperlink ref="F82" location="'Provеnce design'!Print_Area" display="'Provеnce design'!Print_Area"/>
    <hyperlink ref="F83" location="Provеnce!Print_Area" display="Provеnce!Print_Area"/>
    <hyperlink ref="F81" location="Techno_Vetro!Print_Area" display="Techno_Vetro!Print_Area"/>
    <hyperlink ref="F84" location="Фурнитура!Область_печати" display="Фурнитура!Область_печати"/>
    <hyperlink ref="F85" location="Techno_Vetro!Print_Area" display="Techno_Vetro!Print_Area"/>
    <hyperlink ref="F89" location="Techno_Vetro!Print_Area" display="Techno_Vetro!Print_Area"/>
    <hyperlink ref="F96" location="Фурнитура!Область_печати" display="Фурнитура!Область_печати"/>
    <hyperlink ref="F98" location="Enamеl!Print_Area" display="Enamеl!Print_Area"/>
    <hyperlink ref="F99" location="'Скрытая дверь СКЛАД'!Print_Area" display="'Скрытая дверь СКЛАД'!Print_Area"/>
    <hyperlink ref="F100" location="Порталы!Print_Area" display="Порталы!Print_Area"/>
    <hyperlink ref="F105" location="Techno_Vetro!Print_Area" display="Techno_Vetro!Print_Area"/>
    <hyperlink ref="F108" location="Прочее!Область_печати" display="Прочее!Область_печати"/>
    <hyperlink ref="F113" location="Fusion_Plain!Print_Area" display="Fusion_Plain!Print_Area"/>
    <hyperlink ref="F119" location="'Cистемы INVISIBLE'!Print_Area" display="'Cистемы INVISIBLE'!Print_Area"/>
    <hyperlink ref="F121" location="скидки_наценки!A1" display="скидки_наценки!A1"/>
    <hyperlink ref="F123" location="Фурнитура!A1" display="Фурнитура!A1"/>
    <hyperlink ref="F124" location="Алюм.погонаж!A1" display="Алюм.погонаж!A1"/>
    <hyperlink ref="F125" location="Погонаж!A1" display="Погонаж!A1"/>
    <hyperlink ref="F126" location="'Classic '!A1" display="'Classic '!A1"/>
    <hyperlink ref="F127" location="Наценки!A1" display="Наценки!A1"/>
    <hyperlink ref="F129" location="'Двери для обьектов'!R1C1" display="'Двери для обьектов'!R1C1"/>
    <hyperlink ref="F134" location="Фурнитура!A1" display="Фурнитура!A1"/>
    <hyperlink ref="F131" location="Фурнитура!A1" display="Фурнитура!A1"/>
    <hyperlink ref="F132" location="Techno_Porte!A1" display="Techno_Porte!A1"/>
    <hyperlink ref="F136" location="Фурнитура!A1" display="Фурнитура!A1"/>
    <hyperlink ref="B1" location="Содержание!A1" display="Вернуться в содержание"/>
    <hyperlink ref="F147" location="Фурнитура!A1" display="Фурнитура!A1"/>
    <hyperlink ref="F182" location="Eclectica_Beluno!Print_Area" display="Eclectica_Beluno"/>
    <hyperlink ref="F176" location="'Перегородки Corsa'!Print_Area" display="Перегородки Corsa/Race"/>
    <hyperlink ref="F177" location="'Перегородки Grazia'!Print_Area" display="Перегородки Grazia"/>
    <hyperlink ref="F181" location="Погонаж!Print_Area" display="Погонаж"/>
    <hyperlink ref="F186" location="Techno_Porte!A1" display="Techno_Porte"/>
    <hyperlink ref="F200" location="Покрытия_шпон_эмаль!Print_Area" display="Покрытия_шпон_эмаль"/>
    <hyperlink ref="F201" location="Покрытия_шпон_эмаль!Print_Area" display="Покрытия_шпон_эмаль"/>
    <hyperlink ref="F199" location="Покрытия_ПВХ!Область_печати" display="Покрытия ПВХ"/>
    <hyperlink ref="F196" location="Покрытия_шпон_эмаль!Print_Area" display="Покрытия_шпон_эмаль"/>
    <hyperlink ref="F183" location="Design!A1" display="Design"/>
    <hyperlink ref="F187" location="Design!Область_печати" display="Design"/>
    <hyperlink ref="F192" location="'Наценки за габариты'!A1" display="Наценки за габариты"/>
    <hyperlink ref="F188" location="Twist!Print_Area" display="Twist"/>
    <hyperlink ref="F184" location="'E-Design'!Область_печати" display="E-Design"/>
    <hyperlink ref="F179" location="Погонаж!Print_Area" display="Погонаж"/>
    <hyperlink ref="F189" location="'Стен. панели'!A1" display="Стеновые панели"/>
    <hyperlink ref="F193" location="'Прочее наценки'!A1" display="Прочие наценки"/>
    <hyperlink ref="F202" location="'Перегородки Corsa'!A1" display="Перегородки Corsa"/>
    <hyperlink ref="F203" location="Погонаж!Print_Area" display="Погонаж"/>
    <hyperlink ref="F204" location="Покрытия_ПВХ!Область_печати" display="Покрытия ПВХ"/>
    <hyperlink ref="F211" location="'Наценки за габариты'!A1" display="Наценки за габариты"/>
    <hyperlink ref="F208" location="Погонаж!A1" display="Погонаж"/>
    <hyperlink ref="F215" location="Плинтуса!A1" display="Плинтуса"/>
    <hyperlink ref="F217" location="Содержание!A1" display="Содержание"/>
    <hyperlink ref="F219" location="'Алюм. перегородки Meta_Steel'!A1" display="Алюминиевые перегородки Meta"/>
    <hyperlink ref="F221" location="'Жалюзийные двери Louver'!A1" display="Жалюзийные двери Louver"/>
    <hyperlink ref="F228" location="Neoclassic!Print_Area" display="Neoclassic"/>
    <hyperlink ref="F230" location="'Provеnce Sienna'!A1" display="Коллекция Provence Sienna"/>
    <hyperlink ref="F232" location="'Алюм. двери Frame'!A1" display="Алюминиевые двери Frame"/>
    <hyperlink ref="F236" location="'Стен. панели'!A1" display="Стеновые панели"/>
    <hyperlink ref="F237" location="Techno_Porte!A1" display="Коллекция Techno Porte"/>
    <hyperlink ref="F238" location="Techno_Vetro!A1" display="Коллекция Techno Vetro"/>
    <hyperlink ref="F239" location="Алюм.погонаж!A1" display="Алюминиевый погонаж"/>
    <hyperlink ref="F240" location="Рейки!A1" display="Рейки"/>
    <hyperlink ref="F257" location="Standart!R50C8" display="Standart"/>
    <hyperlink ref="F256" location="'Современные перегородки'!R11C3" display="Современные перегородки"/>
    <hyperlink ref="F259" location="Design!R1C1" display="Design!R1C1"/>
    <hyperlink ref="F243" location="Погонаж!A1" display="Погонаж (L, Q, M, Z)"/>
    <hyperlink ref="F242" location="Порталы!A1" display="ПОРТАЛЫ: КОЛОННЫ И КАРНИЗЫ"/>
    <hyperlink ref="F247" location="'Rino Soft'!R1C1" display="'Rino Soft'"/>
    <hyperlink ref="F250" location="Фрамуги_накладки!A1" display="Фрамуги_накладки"/>
    <hyperlink ref="F252" location="Алюм.погонаж!R1C1" display="Алюм.погонаж"/>
    <hyperlink ref="F253:F254" location="Покрытия_шпон_эмаль!R1C1" display="Покрытия_шпон_эмаль!R1C1"/>
    <hyperlink ref="F261" location="'Наценки за габариты'!A1" display="Наценки за габариты"/>
    <hyperlink ref="F262" location="Погонаж!A1" display="Погонаж"/>
    <hyperlink ref="F264" location="Покрытия_шпон_эмаль!A1" display="Покрытия шпон, эмаль"/>
    <hyperlink ref="F266" location="'Современные перегородки'!R1C1" display=" Современные перегородки"/>
    <hyperlink ref="F267" location="'Алюм. двери Frame'!R1C1" display="Алюм. двери Frame"/>
    <hyperlink ref="F269" location="Design!R1C1" display="Design"/>
    <hyperlink ref="F270" location="'E-Design'!R1C1" display="E-Design"/>
    <hyperlink ref="F271" location="'Алюм. двери Frame'!R1C1" display="Алюм. двери Frame"/>
    <hyperlink ref="F272" location="'Классические прегородки'!R1C1" display="Классические прегородки"/>
    <hyperlink ref="F274" location="'Рекламная продукция'!A1" display="Рекламная продукция"/>
    <hyperlink ref="F276" location="Eclectica_Belluno!A1" display="Eclectica_Belluno!A1"/>
    <hyperlink ref="F278" location="Fusion_Plainе!A1" display="Fusion_Plainе"/>
    <hyperlink ref="F281" location="Фрамуги_накладки!A1" display="Фрамуги_накладки!A1"/>
    <hyperlink ref="F280" location="Fusion_Plainе!A1" display="Fusion_Plainе"/>
    <hyperlink ref="F287" location="Комплекты!A1" display="Комплекты!A1"/>
    <hyperlink ref="F286" location="Фрамуги_накладки!A1" display="Фрамуги_накладки"/>
    <hyperlink ref="F291" location="Погонаж!A1" display="Погонаж"/>
    <hyperlink ref="F292" location="Алюм.погонаж!A1" display="Алюм.погонаж"/>
    <hyperlink ref="F294" location="Techno_Vetro!Print_Area" display="Techno_Vetro"/>
    <hyperlink ref="F296" location="Погонаж!K33" display="Погонаж"/>
    <hyperlink ref="F302" location="'Стен. панели'!A1" display="Стен. панели"/>
    <hyperlink ref="F304" location="Steel_Meta_Frame!A1" display="Steel_Meta_Frame"/>
    <hyperlink ref="F306" location="Стык.элементы!A1" display="Стык.элементы!A1"/>
    <hyperlink ref="F305" location="'Provеnce Savona'!A1" display="'Provеnce Savona'!A1"/>
    <hyperlink ref="F308" location="'E-Design'!Print_Area" display="E-Design"/>
    <hyperlink ref="F311" location="'Рекламная продукция'!Print_Area" display="'Рекламная продукция"/>
    <hyperlink ref="F310" location="Алюм.погонаж!A1" display="Алюм.погонаж"/>
    <hyperlink ref="F314" location="'E-Classic'!A1" display="E-Classic"/>
    <hyperlink ref="F313" location="'Стен. панели'!A1" display="Стен. панели"/>
    <hyperlink ref="F316" location="'Прочее наценки'!E54" display="Прочее наценки"/>
    <hyperlink ref="F317" location="Steel_Meta_Frame!B36" display="Steel_Meta_Frame"/>
    <hyperlink ref="F319" location="'Provеnce Sienna'!A1" display="Provеnce Sienna"/>
    <hyperlink ref="F324" location="Steel_Meta_Frame!A1" display="Steel_Meta_Frame"/>
    <hyperlink ref="F326" location="Fusion!A1" display="Fusion"/>
    <hyperlink ref="F328" location="Плинтусы!A1" display="Плинтусы"/>
  </hyperlinks>
  <pageMargins left="0.70866141732283472" right="0.70866141732283472" top="0.74803149606299213" bottom="0.74803149606299213" header="0.31496062992125984" footer="0.31496062992125984"/>
  <pageSetup paperSize="9" scale="56" orientation="portrait" r:id="rId1"/>
  <rowBreaks count="1" manualBreakCount="1">
    <brk id="136" max="5" man="1"/>
  </rowBreaks>
  <colBreaks count="1" manualBreakCount="1">
    <brk id="6" max="1048575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36">
    <tabColor rgb="FF92D050"/>
  </sheetPr>
  <dimension ref="B1:AD119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G25" sqref="G25"/>
    </sheetView>
  </sheetViews>
  <sheetFormatPr defaultColWidth="8.85546875" defaultRowHeight="12.75"/>
  <cols>
    <col min="1" max="1" width="5.5703125" style="73" customWidth="1"/>
    <col min="2" max="2" width="17.28515625" style="73" customWidth="1"/>
    <col min="3" max="3" width="26.140625" style="73" customWidth="1"/>
    <col min="4" max="4" width="24.7109375" style="73" customWidth="1"/>
    <col min="5" max="5" width="24.85546875" style="73" customWidth="1"/>
    <col min="6" max="6" width="16.7109375" style="73" customWidth="1"/>
    <col min="7" max="7" width="23.85546875" style="73" customWidth="1"/>
    <col min="8" max="16384" width="8.85546875" style="73"/>
  </cols>
  <sheetData>
    <row r="1" spans="2:30" s="1035" customFormat="1" ht="17.25" customHeight="1">
      <c r="B1" s="1024"/>
      <c r="C1" s="1034" t="s">
        <v>307</v>
      </c>
      <c r="D1" s="1024"/>
      <c r="E1" s="1036"/>
      <c r="F1" s="1045"/>
      <c r="G1" s="1045"/>
      <c r="H1" s="1042"/>
      <c r="I1" s="1042"/>
      <c r="J1" s="1042"/>
      <c r="K1" s="1042"/>
      <c r="L1" s="1042"/>
      <c r="M1" s="1042"/>
      <c r="N1" s="1042"/>
      <c r="O1" s="1042"/>
      <c r="P1" s="1042"/>
      <c r="Q1" s="1042"/>
      <c r="R1" s="1042"/>
      <c r="S1" s="1042"/>
      <c r="T1" s="1042"/>
      <c r="U1" s="1042"/>
      <c r="V1" s="1042"/>
      <c r="W1" s="1042"/>
      <c r="X1" s="1042"/>
      <c r="Y1" s="1042"/>
      <c r="Z1" s="1042"/>
      <c r="AA1" s="1042"/>
      <c r="AB1" s="1042"/>
      <c r="AC1" s="1042"/>
      <c r="AD1" s="1042"/>
    </row>
    <row r="2" spans="2:30" s="471" customFormat="1" ht="18" customHeight="1">
      <c r="B2" s="3345" t="s">
        <v>1778</v>
      </c>
      <c r="C2" s="3346"/>
      <c r="D2" s="3346"/>
      <c r="E2" s="3346"/>
      <c r="F2" s="3346"/>
      <c r="G2" s="3347"/>
      <c r="H2" s="472"/>
      <c r="I2" s="472"/>
      <c r="J2" s="472"/>
      <c r="K2" s="472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</row>
    <row r="3" spans="2:30" s="334" customFormat="1" ht="19.899999999999999" customHeight="1">
      <c r="B3" s="3352" t="s">
        <v>1</v>
      </c>
      <c r="C3" s="3353"/>
      <c r="D3" s="3348" t="s">
        <v>2237</v>
      </c>
      <c r="E3" s="3348"/>
      <c r="F3" s="3348" t="s">
        <v>2238</v>
      </c>
      <c r="G3" s="3348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  <c r="AA3" s="492"/>
      <c r="AB3" s="492"/>
      <c r="AC3" s="492"/>
      <c r="AD3" s="492"/>
    </row>
    <row r="4" spans="2:30" s="334" customFormat="1" ht="15">
      <c r="B4" s="3352"/>
      <c r="C4" s="3352"/>
      <c r="D4" s="3349" t="s">
        <v>28</v>
      </c>
      <c r="E4" s="3350"/>
      <c r="F4" s="3350"/>
      <c r="G4" s="3351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</row>
    <row r="5" spans="2:30" s="334" customFormat="1" ht="30" customHeight="1">
      <c r="B5" s="3352"/>
      <c r="C5" s="3352"/>
      <c r="D5" s="2000" t="s">
        <v>2234</v>
      </c>
      <c r="E5" s="2000" t="s">
        <v>907</v>
      </c>
      <c r="F5" s="2000" t="s">
        <v>2234</v>
      </c>
      <c r="G5" s="2000" t="s">
        <v>907</v>
      </c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2"/>
      <c r="U5" s="492"/>
      <c r="V5" s="492"/>
      <c r="W5" s="492"/>
      <c r="X5" s="492"/>
      <c r="Y5" s="492"/>
      <c r="Z5" s="492"/>
      <c r="AA5" s="492"/>
      <c r="AB5" s="492"/>
      <c r="AC5" s="492"/>
      <c r="AD5" s="492"/>
    </row>
    <row r="6" spans="2:30" s="335" customFormat="1" ht="23.45" customHeight="1">
      <c r="B6" s="3335" t="str">
        <f>Перегородки_база!B11</f>
        <v>Стекло без декора (СМ0)</v>
      </c>
      <c r="C6" s="2000" t="str">
        <f>Перегородки_база!C11</f>
        <v xml:space="preserve">прозрачное Флоат </v>
      </c>
      <c r="D6" s="2439">
        <f>Перегородки_база!E11*(1+скидки_наценки!$B$30)*скидки_наценки!$D$21*скидки_наценки!$F$21/скидки_наценки!$B$4</f>
        <v>30450</v>
      </c>
      <c r="E6" s="2439">
        <f>Перегородки_база!F11*(1+скидки_наценки!$B$30)*скидки_наценки!$D$21*скидки_наценки!$F$21/скидки_наценки!$B$4</f>
        <v>33500</v>
      </c>
      <c r="F6" s="2444"/>
      <c r="G6" s="2464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  <c r="Z6" s="491"/>
      <c r="AA6" s="491"/>
      <c r="AB6" s="491"/>
      <c r="AC6" s="491"/>
      <c r="AD6" s="491"/>
    </row>
    <row r="7" spans="2:30" s="78" customFormat="1" ht="23.45" customHeight="1">
      <c r="B7" s="3336"/>
      <c r="C7" s="2000" t="str">
        <f>Перегородки_база!C12</f>
        <v>прозрачное Бронза</v>
      </c>
      <c r="D7" s="2435">
        <f>Перегородки_база!E12*(1+скидки_наценки!$B$30)*скидки_наценки!$D$21*скидки_наценки!$F$21/скидки_наценки!$B$4</f>
        <v>31980</v>
      </c>
      <c r="E7" s="2435">
        <f>Перегородки_база!F12*(1+скидки_наценки!$B$30)*скидки_наценки!$D$21*скидки_наценки!$F$21/скидки_наценки!$B$4</f>
        <v>35180</v>
      </c>
      <c r="F7" s="2444"/>
      <c r="G7" s="2464"/>
      <c r="H7" s="481"/>
      <c r="I7" s="481"/>
      <c r="J7" s="481"/>
      <c r="K7" s="481"/>
      <c r="L7" s="481"/>
      <c r="M7" s="481"/>
      <c r="N7" s="481"/>
      <c r="O7" s="481"/>
      <c r="P7" s="481"/>
      <c r="Q7" s="481"/>
      <c r="R7" s="481"/>
      <c r="S7" s="481"/>
      <c r="T7" s="481"/>
      <c r="U7" s="481"/>
      <c r="V7" s="481"/>
      <c r="W7" s="481"/>
      <c r="X7" s="481"/>
      <c r="Y7" s="481"/>
      <c r="Z7" s="481"/>
      <c r="AA7" s="481"/>
      <c r="AB7" s="481"/>
      <c r="AC7" s="481"/>
      <c r="AD7" s="481"/>
    </row>
    <row r="8" spans="2:30" s="78" customFormat="1" ht="23.45" customHeight="1">
      <c r="B8" s="3337"/>
      <c r="C8" s="2000" t="str">
        <f>Перегородки_база!C13</f>
        <v>прозрачное Грей</v>
      </c>
      <c r="D8" s="2439">
        <f>Перегородки_база!E13*(1+скидки_наценки!$B$30)*скидки_наценки!$D$21*скидки_наценки!$F$21/скидки_наценки!$B$4</f>
        <v>31980</v>
      </c>
      <c r="E8" s="2439">
        <f>Перегородки_база!F13*(1+скидки_наценки!$B$30)*скидки_наценки!$D$21*скидки_наценки!$F$21/скидки_наценки!$B$4</f>
        <v>35180</v>
      </c>
      <c r="F8" s="2444"/>
      <c r="G8" s="2464"/>
      <c r="H8" s="481"/>
      <c r="I8" s="481"/>
      <c r="J8" s="481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</row>
    <row r="9" spans="2:30" s="78" customFormat="1" ht="23.45" customHeight="1">
      <c r="B9" s="3335" t="str">
        <f>Перегородки_база!B14</f>
        <v>Фацет (СМ0)</v>
      </c>
      <c r="C9" s="2000" t="str">
        <f>Перегородки_база!C14</f>
        <v xml:space="preserve">прозрачное Флоат </v>
      </c>
      <c r="D9" s="2435">
        <f>Перегородки_база!E14*(1+скидки_наценки!$B$30)*скидки_наценки!$D$21*скидки_наценки!$F$21/скидки_наценки!$B$4</f>
        <v>36540</v>
      </c>
      <c r="E9" s="2435">
        <f>Перегородки_база!F14*(1+скидки_наценки!$B$30)*скидки_наценки!$D$21*скидки_наценки!$F$21/скидки_наценки!$B$4</f>
        <v>40200</v>
      </c>
      <c r="F9" s="2444"/>
      <c r="G9" s="2464"/>
      <c r="H9" s="481"/>
      <c r="I9" s="481"/>
      <c r="J9" s="481"/>
      <c r="K9" s="481"/>
      <c r="L9" s="481"/>
      <c r="M9" s="481"/>
      <c r="N9" s="481"/>
      <c r="O9" s="481"/>
      <c r="P9" s="481"/>
      <c r="Q9" s="481"/>
      <c r="R9" s="481"/>
      <c r="S9" s="481"/>
      <c r="T9" s="481"/>
      <c r="U9" s="481"/>
      <c r="V9" s="481"/>
      <c r="W9" s="481"/>
      <c r="X9" s="481"/>
      <c r="Y9" s="481"/>
      <c r="Z9" s="481"/>
      <c r="AA9" s="481"/>
      <c r="AB9" s="481"/>
      <c r="AC9" s="481"/>
      <c r="AD9" s="481"/>
    </row>
    <row r="10" spans="2:30" s="78" customFormat="1" ht="23.45" customHeight="1">
      <c r="B10" s="3336"/>
      <c r="C10" s="2000" t="str">
        <f>Перегородки_база!C15</f>
        <v>прозрачное Бронза</v>
      </c>
      <c r="D10" s="2439">
        <f>Перегородки_база!E15*(1+скидки_наценки!$B$30)*скидки_наценки!$D$21*скидки_наценки!$F$21/скидки_наценки!$B$4</f>
        <v>38380</v>
      </c>
      <c r="E10" s="2439">
        <f>Перегородки_база!F15*(1+скидки_наценки!$B$30)*скидки_наценки!$D$21*скидки_наценки!$F$21/скидки_наценки!$B$4</f>
        <v>42220</v>
      </c>
      <c r="F10" s="2444"/>
      <c r="G10" s="2464"/>
      <c r="H10" s="481"/>
      <c r="I10" s="481"/>
      <c r="J10" s="481"/>
      <c r="K10" s="481"/>
      <c r="L10" s="481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</row>
    <row r="11" spans="2:30" s="78" customFormat="1" ht="23.45" customHeight="1">
      <c r="B11" s="3337"/>
      <c r="C11" s="2000" t="str">
        <f>Перегородки_база!C16</f>
        <v>прозрачное Грей</v>
      </c>
      <c r="D11" s="2435">
        <f>Перегородки_база!E16*(1+скидки_наценки!$B$30)*скидки_наценки!$D$21*скидки_наценки!$F$21/скидки_наценки!$B$4</f>
        <v>38380</v>
      </c>
      <c r="E11" s="2435">
        <f>Перегородки_база!F16*(1+скидки_наценки!$B$30)*скидки_наценки!$D$21*скидки_наценки!$F$21/скидки_наценки!$B$4</f>
        <v>42220</v>
      </c>
      <c r="F11" s="2444"/>
      <c r="G11" s="2464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</row>
    <row r="12" spans="2:30" s="78" customFormat="1" ht="23.45" customHeight="1">
      <c r="B12" s="3334" t="str">
        <f>Перегородки_база!B17</f>
        <v>Фацет рефлектив</v>
      </c>
      <c r="C12" s="2000" t="str">
        <f>Перегородки_база!C17</f>
        <v>Рефлектив Серебро</v>
      </c>
      <c r="D12" s="2439">
        <f>Перегородки_база!E17*(1+скидки_наценки!$B$30)*скидки_наценки!$D$21*скидки_наценки!$F$21/скидки_наценки!$B$4</f>
        <v>39590</v>
      </c>
      <c r="E12" s="2439">
        <f>Перегородки_база!F17*(1+скидки_наценки!$B$30)*скидки_наценки!$D$21*скидки_наценки!$F$21/скидки_наценки!$B$4</f>
        <v>43550</v>
      </c>
      <c r="F12" s="2444"/>
      <c r="G12" s="2464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</row>
    <row r="13" spans="2:30" s="78" customFormat="1" ht="23.45" customHeight="1">
      <c r="B13" s="3334"/>
      <c r="C13" s="2000" t="str">
        <f>Перегородки_база!C18</f>
        <v>Рефлектив Бронза</v>
      </c>
      <c r="D13" s="2435">
        <f>Перегородки_база!E18*(1+скидки_наценки!$B$30)*скидки_наценки!$D$21*скидки_наценки!$F$21/скидки_наценки!$B$4</f>
        <v>39590</v>
      </c>
      <c r="E13" s="2435">
        <f>Перегородки_база!F18*(1+скидки_наценки!$B$30)*скидки_наценки!$D$21*скидки_наценки!$F$21/скидки_наценки!$B$4</f>
        <v>43550</v>
      </c>
      <c r="F13" s="2444"/>
      <c r="G13" s="2464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</row>
    <row r="14" spans="2:30" s="78" customFormat="1" ht="23.45" customHeight="1">
      <c r="B14" s="3335" t="s">
        <v>2239</v>
      </c>
      <c r="C14" s="2000" t="str">
        <f>C6</f>
        <v xml:space="preserve">прозрачное Флоат </v>
      </c>
      <c r="D14" s="2461"/>
      <c r="E14" s="2462"/>
      <c r="F14" s="2439">
        <f>D9</f>
        <v>36540</v>
      </c>
      <c r="G14" s="2439">
        <f>E9</f>
        <v>40200</v>
      </c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</row>
    <row r="15" spans="2:30" s="78" customFormat="1" ht="23.45" customHeight="1">
      <c r="B15" s="3336"/>
      <c r="C15" s="2000" t="str">
        <f t="shared" ref="C15:C16" si="0">C7</f>
        <v>прозрачное Бронза</v>
      </c>
      <c r="D15" s="2463"/>
      <c r="E15" s="2464"/>
      <c r="F15" s="2435">
        <f t="shared" ref="F15:G15" si="1">D10</f>
        <v>38380</v>
      </c>
      <c r="G15" s="2435">
        <f t="shared" si="1"/>
        <v>42220</v>
      </c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</row>
    <row r="16" spans="2:30" s="78" customFormat="1" ht="23.45" customHeight="1">
      <c r="B16" s="3337"/>
      <c r="C16" s="2000" t="str">
        <f t="shared" si="0"/>
        <v>прозрачное Грей</v>
      </c>
      <c r="D16" s="2465"/>
      <c r="E16" s="2466"/>
      <c r="F16" s="2439">
        <f t="shared" ref="F16:G16" si="2">D11</f>
        <v>38380</v>
      </c>
      <c r="G16" s="2439">
        <f t="shared" si="2"/>
        <v>42220</v>
      </c>
      <c r="H16" s="481"/>
      <c r="I16" s="481"/>
      <c r="J16" s="481"/>
      <c r="K16" s="481"/>
      <c r="L16" s="481"/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</row>
    <row r="17" spans="2:30" s="78" customFormat="1" ht="27.75" customHeight="1">
      <c r="B17" s="3342" t="s">
        <v>1944</v>
      </c>
      <c r="C17" s="3343"/>
      <c r="D17" s="3344"/>
      <c r="E17" s="471"/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</row>
    <row r="18" spans="2:30" ht="15">
      <c r="B18" s="3208" t="s">
        <v>1566</v>
      </c>
      <c r="C18" s="3208"/>
      <c r="D18" s="2520">
        <v>0.02</v>
      </c>
      <c r="E18" s="471"/>
      <c r="F18" s="481"/>
      <c r="G18" s="481"/>
      <c r="H18" s="481"/>
      <c r="I18" s="481"/>
      <c r="J18" s="481"/>
      <c r="K18" s="481"/>
      <c r="L18" s="481"/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</row>
    <row r="19" spans="2:30" ht="15">
      <c r="B19" s="3338" t="s">
        <v>2241</v>
      </c>
      <c r="C19" s="3339"/>
      <c r="D19" s="2521">
        <v>0.03</v>
      </c>
      <c r="E19" s="471"/>
      <c r="F19" s="481"/>
      <c r="G19" s="481"/>
      <c r="H19" s="481"/>
      <c r="I19" s="481"/>
      <c r="J19" s="481"/>
      <c r="K19" s="481"/>
      <c r="L19" s="481"/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</row>
    <row r="20" spans="2:30" ht="15">
      <c r="B20" s="3340" t="s">
        <v>2240</v>
      </c>
      <c r="C20" s="3341"/>
      <c r="D20" s="2520">
        <v>0.03</v>
      </c>
      <c r="E20" s="47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</row>
    <row r="21" spans="2:30" ht="12" customHeight="1">
      <c r="B21" s="71"/>
      <c r="C21" s="71"/>
      <c r="D21" s="71"/>
      <c r="E21" s="471"/>
      <c r="F21" s="481"/>
      <c r="G21" s="481"/>
      <c r="H21" s="481"/>
      <c r="I21" s="481"/>
      <c r="J21" s="481"/>
      <c r="K21" s="481"/>
      <c r="L21" s="481"/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</row>
    <row r="22" spans="2:30" s="77" customFormat="1" ht="18" customHeight="1">
      <c r="B22" s="94"/>
      <c r="C22" s="17" t="s">
        <v>23</v>
      </c>
      <c r="D22" s="17"/>
      <c r="E22" s="94"/>
      <c r="F22" s="481"/>
      <c r="G22" s="481"/>
      <c r="H22" s="481"/>
      <c r="I22" s="481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</row>
    <row r="23" spans="2:30" s="77" customFormat="1" ht="17.25" customHeight="1">
      <c r="B23" s="94"/>
      <c r="C23" s="345"/>
      <c r="D23" s="345"/>
      <c r="E23" s="94"/>
      <c r="F23" s="95"/>
      <c r="G23" s="95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</row>
    <row r="24" spans="2:30" s="77" customFormat="1" ht="17.25" customHeight="1">
      <c r="B24" s="94"/>
      <c r="C24" s="345"/>
      <c r="D24" s="345"/>
      <c r="E24" s="94"/>
      <c r="F24" s="95"/>
      <c r="G24" s="95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</row>
    <row r="25" spans="2:30" s="77" customFormat="1" ht="17.25" customHeight="1">
      <c r="B25" s="94"/>
      <c r="C25" s="345"/>
      <c r="D25" s="345"/>
      <c r="E25" s="94"/>
      <c r="F25" s="95"/>
      <c r="G25" s="95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</row>
    <row r="26" spans="2:30" s="77" customFormat="1" ht="17.25" customHeight="1">
      <c r="B26" s="94"/>
      <c r="C26" s="345"/>
      <c r="D26" s="345"/>
      <c r="E26" s="94"/>
      <c r="F26" s="95"/>
      <c r="G26" s="95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</row>
    <row r="27" spans="2:30" s="77" customFormat="1" ht="17.25" customHeight="1">
      <c r="B27" s="94"/>
      <c r="C27" s="17"/>
      <c r="D27" s="345"/>
      <c r="E27" s="94"/>
      <c r="F27" s="95"/>
      <c r="G27" s="95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</row>
    <row r="28" spans="2:30" s="77" customFormat="1" ht="17.25" customHeight="1">
      <c r="B28" s="94"/>
      <c r="C28" s="171"/>
      <c r="D28" s="345"/>
      <c r="E28" s="94"/>
      <c r="F28" s="95"/>
      <c r="G28" s="95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</row>
    <row r="29" spans="2:30" s="77" customFormat="1" ht="17.25" customHeight="1">
      <c r="B29" s="94"/>
      <c r="C29" s="179"/>
      <c r="D29" s="345"/>
      <c r="E29" s="94"/>
      <c r="F29" s="95"/>
      <c r="G29" s="95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</row>
    <row r="30" spans="2:30" s="77" customFormat="1" ht="17.25" customHeight="1">
      <c r="B30" s="94"/>
      <c r="C30" s="338"/>
      <c r="D30" s="336"/>
      <c r="E30" s="94"/>
      <c r="F30" s="95"/>
      <c r="G30" s="95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</row>
    <row r="31" spans="2:30" s="77" customFormat="1" ht="17.25" customHeight="1">
      <c r="B31" s="94"/>
      <c r="C31" s="178"/>
      <c r="D31" s="336"/>
      <c r="E31" s="94"/>
      <c r="F31" s="95"/>
      <c r="G31" s="95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</row>
    <row r="32" spans="2:30" s="77" customFormat="1" ht="17.25" customHeight="1">
      <c r="B32" s="94"/>
      <c r="D32" s="337"/>
      <c r="E32" s="94"/>
      <c r="F32" s="95"/>
      <c r="G32" s="95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2:30" s="77" customFormat="1" ht="17.25" customHeight="1">
      <c r="B33" s="94"/>
      <c r="D33" s="171"/>
      <c r="E33" s="94"/>
      <c r="F33" s="95"/>
      <c r="G33" s="95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</row>
    <row r="34" spans="2:30" s="77" customFormat="1">
      <c r="C34" s="95"/>
      <c r="D34" s="179"/>
      <c r="E34" s="94"/>
      <c r="F34" s="95"/>
      <c r="G34" s="95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</row>
    <row r="35" spans="2:30" s="77" customFormat="1" ht="12" customHeight="1">
      <c r="C35" s="95"/>
      <c r="D35" s="179"/>
      <c r="E35" s="94"/>
      <c r="F35" s="95"/>
      <c r="G35" s="95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</row>
    <row r="36" spans="2:30" s="77" customFormat="1" ht="0.75" customHeight="1">
      <c r="C36" s="95"/>
      <c r="D36" s="95"/>
      <c r="E36" s="94"/>
      <c r="F36" s="95"/>
      <c r="G36" s="95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</row>
    <row r="37" spans="2:30" s="77" customFormat="1" ht="12" customHeight="1">
      <c r="B37" s="94"/>
      <c r="C37" s="493"/>
      <c r="D37" s="493"/>
      <c r="E37" s="94"/>
      <c r="F37" s="95"/>
      <c r="G37" s="95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</row>
    <row r="38" spans="2:30" s="77" customFormat="1" ht="23.25" hidden="1" customHeight="1">
      <c r="B38" s="95"/>
      <c r="C38" s="493"/>
      <c r="D38" s="493"/>
      <c r="E38" s="94"/>
      <c r="F38" s="95"/>
      <c r="G38" s="95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</row>
    <row r="39" spans="2:30" s="77" customFormat="1" ht="9" customHeight="1">
      <c r="B39" s="95"/>
      <c r="C39" s="493"/>
      <c r="D39" s="493"/>
      <c r="E39" s="73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</row>
    <row r="40" spans="2:30" s="77" customFormat="1">
      <c r="B40" s="95"/>
      <c r="C40" s="493"/>
      <c r="D40" s="493"/>
      <c r="E40" s="73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</row>
    <row r="41" spans="2:30" s="77" customFormat="1" ht="12.75" customHeight="1">
      <c r="B41" s="95"/>
      <c r="C41" s="493"/>
      <c r="D41" s="493"/>
      <c r="E41" s="73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</row>
    <row r="42" spans="2:30" s="77" customFormat="1" ht="15" customHeight="1">
      <c r="B42" s="493"/>
      <c r="C42" s="493"/>
      <c r="D42" s="493"/>
      <c r="E42" s="493"/>
      <c r="F42" s="73"/>
      <c r="G42" s="73"/>
    </row>
    <row r="43" spans="2:30" s="77" customFormat="1" ht="12.75" customHeight="1">
      <c r="B43" s="493"/>
      <c r="C43" s="493"/>
      <c r="D43" s="493"/>
      <c r="E43" s="493"/>
      <c r="F43" s="73"/>
      <c r="G43" s="73"/>
    </row>
    <row r="44" spans="2:30" s="77" customFormat="1" ht="15" customHeight="1">
      <c r="B44" s="493"/>
      <c r="C44" s="493"/>
      <c r="D44" s="493"/>
      <c r="E44" s="493"/>
      <c r="F44" s="73"/>
      <c r="G44" s="73"/>
    </row>
    <row r="45" spans="2:30" s="77" customFormat="1" ht="12.75" customHeight="1">
      <c r="B45" s="493"/>
      <c r="C45" s="493"/>
      <c r="D45" s="493"/>
      <c r="E45" s="493"/>
      <c r="F45" s="73"/>
      <c r="G45" s="73"/>
    </row>
    <row r="46" spans="2:30" s="77" customFormat="1">
      <c r="B46" s="493"/>
      <c r="C46" s="493"/>
      <c r="D46" s="493"/>
      <c r="E46" s="493"/>
      <c r="F46" s="73"/>
      <c r="G46" s="73"/>
    </row>
    <row r="47" spans="2:30" s="77" customFormat="1" ht="12.75" customHeight="1">
      <c r="B47" s="493"/>
      <c r="C47" s="493"/>
      <c r="D47" s="493"/>
      <c r="E47" s="493"/>
      <c r="F47" s="73"/>
      <c r="G47" s="73"/>
    </row>
    <row r="48" spans="2:30" s="77" customFormat="1">
      <c r="B48" s="493"/>
      <c r="C48" s="493"/>
      <c r="D48" s="493"/>
      <c r="E48" s="493"/>
      <c r="F48" s="73"/>
      <c r="G48" s="73"/>
    </row>
    <row r="49" spans="2:12" s="77" customFormat="1" ht="12.75" customHeight="1">
      <c r="B49" s="493"/>
      <c r="C49" s="493"/>
      <c r="D49" s="493"/>
      <c r="E49" s="493"/>
      <c r="F49" s="73"/>
      <c r="G49" s="73"/>
    </row>
    <row r="50" spans="2:12" s="77" customFormat="1">
      <c r="B50" s="493"/>
      <c r="C50" s="493"/>
      <c r="D50" s="493"/>
      <c r="E50" s="493"/>
      <c r="F50" s="73"/>
      <c r="G50" s="73"/>
    </row>
    <row r="51" spans="2:12" s="77" customFormat="1" ht="12.75" customHeight="1">
      <c r="B51" s="493"/>
      <c r="C51" s="493"/>
      <c r="D51" s="493"/>
      <c r="E51" s="493"/>
      <c r="F51" s="73"/>
      <c r="G51" s="73"/>
    </row>
    <row r="52" spans="2:12" s="77" customFormat="1">
      <c r="B52" s="493"/>
      <c r="C52" s="493"/>
      <c r="D52" s="493"/>
      <c r="E52" s="493"/>
      <c r="F52" s="73"/>
      <c r="G52" s="73"/>
    </row>
    <row r="53" spans="2:12" s="77" customFormat="1">
      <c r="B53" s="493"/>
      <c r="C53" s="493"/>
      <c r="D53" s="493"/>
      <c r="E53" s="493"/>
      <c r="F53" s="73"/>
      <c r="G53" s="73"/>
    </row>
    <row r="54" spans="2:12" s="77" customFormat="1">
      <c r="B54" s="493"/>
      <c r="C54" s="493"/>
      <c r="D54" s="493"/>
      <c r="E54" s="493"/>
      <c r="F54" s="73"/>
      <c r="G54" s="73"/>
    </row>
    <row r="55" spans="2:12" s="77" customFormat="1">
      <c r="B55" s="493"/>
      <c r="C55" s="493"/>
      <c r="D55" s="493"/>
      <c r="E55" s="493"/>
      <c r="F55" s="73"/>
      <c r="G55" s="73"/>
      <c r="H55" s="73"/>
      <c r="I55" s="73"/>
      <c r="J55" s="73"/>
      <c r="K55" s="73"/>
      <c r="L55" s="73"/>
    </row>
    <row r="56" spans="2:12" s="77" customFormat="1">
      <c r="B56" s="493"/>
      <c r="C56" s="493"/>
      <c r="D56" s="493"/>
      <c r="E56" s="493"/>
      <c r="F56" s="73"/>
      <c r="G56" s="73"/>
      <c r="H56" s="73"/>
      <c r="I56" s="73"/>
      <c r="J56" s="73"/>
      <c r="K56" s="73"/>
      <c r="L56" s="73"/>
    </row>
    <row r="57" spans="2:12">
      <c r="B57" s="493"/>
      <c r="C57" s="493"/>
      <c r="D57" s="493"/>
      <c r="E57" s="493"/>
    </row>
    <row r="58" spans="2:12">
      <c r="B58" s="493"/>
      <c r="C58" s="493"/>
      <c r="D58" s="493"/>
      <c r="E58" s="493"/>
    </row>
    <row r="59" spans="2:12">
      <c r="B59" s="493"/>
      <c r="C59" s="493"/>
      <c r="D59" s="493"/>
      <c r="E59" s="493"/>
    </row>
    <row r="60" spans="2:12">
      <c r="B60" s="493"/>
      <c r="C60" s="493"/>
      <c r="D60" s="493"/>
      <c r="E60" s="493"/>
    </row>
    <row r="61" spans="2:12">
      <c r="B61" s="493"/>
      <c r="C61" s="493"/>
      <c r="D61" s="493"/>
      <c r="E61" s="493"/>
    </row>
    <row r="62" spans="2:12">
      <c r="B62" s="493"/>
      <c r="C62" s="493"/>
      <c r="D62" s="493"/>
      <c r="E62" s="493"/>
    </row>
    <row r="63" spans="2:12">
      <c r="B63" s="493"/>
      <c r="C63" s="493"/>
      <c r="D63" s="493"/>
      <c r="E63" s="493"/>
    </row>
    <row r="64" spans="2:12" s="77" customFormat="1" ht="12.75" customHeight="1">
      <c r="B64" s="493"/>
      <c r="C64" s="493"/>
      <c r="D64" s="493"/>
      <c r="E64" s="493"/>
      <c r="F64" s="73"/>
      <c r="G64" s="73"/>
      <c r="H64" s="73"/>
      <c r="I64" s="73"/>
      <c r="J64" s="73"/>
      <c r="K64" s="73"/>
      <c r="L64" s="73"/>
    </row>
    <row r="65" spans="2:12" s="77" customFormat="1">
      <c r="B65" s="493"/>
      <c r="C65" s="493"/>
      <c r="D65" s="493"/>
      <c r="E65" s="493"/>
      <c r="F65" s="73"/>
      <c r="G65" s="73"/>
      <c r="H65" s="73"/>
      <c r="I65" s="73"/>
      <c r="J65" s="73"/>
      <c r="K65" s="73"/>
      <c r="L65" s="73"/>
    </row>
    <row r="66" spans="2:12" s="77" customFormat="1">
      <c r="B66" s="493"/>
      <c r="C66" s="493"/>
      <c r="D66" s="493"/>
      <c r="E66" s="493"/>
      <c r="F66" s="73"/>
      <c r="G66" s="73"/>
      <c r="H66" s="73"/>
      <c r="I66" s="73"/>
      <c r="J66" s="73"/>
      <c r="K66" s="73"/>
      <c r="L66" s="73"/>
    </row>
    <row r="67" spans="2:12" s="77" customFormat="1">
      <c r="B67" s="493"/>
      <c r="C67" s="493"/>
      <c r="D67" s="493"/>
      <c r="E67" s="493"/>
      <c r="F67" s="73"/>
      <c r="G67" s="73"/>
      <c r="H67" s="73"/>
      <c r="I67" s="73"/>
      <c r="J67" s="73"/>
      <c r="K67" s="73"/>
      <c r="L67" s="73"/>
    </row>
    <row r="68" spans="2:12" s="77" customFormat="1">
      <c r="B68" s="493"/>
      <c r="C68" s="493"/>
      <c r="D68" s="493"/>
      <c r="E68" s="493"/>
      <c r="F68" s="73"/>
      <c r="G68" s="73"/>
      <c r="H68" s="73"/>
      <c r="I68" s="73"/>
      <c r="J68" s="73"/>
      <c r="K68" s="73"/>
      <c r="L68" s="73"/>
    </row>
    <row r="69" spans="2:12" s="77" customFormat="1">
      <c r="B69" s="493"/>
      <c r="C69" s="493"/>
      <c r="D69" s="493"/>
      <c r="E69" s="493"/>
      <c r="F69" s="73"/>
      <c r="G69" s="73"/>
      <c r="H69" s="73"/>
      <c r="I69" s="73"/>
      <c r="J69" s="73"/>
      <c r="K69" s="73"/>
      <c r="L69" s="73"/>
    </row>
    <row r="70" spans="2:12">
      <c r="B70" s="493"/>
      <c r="C70" s="493"/>
      <c r="D70" s="493"/>
      <c r="E70" s="493"/>
    </row>
    <row r="71" spans="2:12">
      <c r="B71" s="493"/>
      <c r="C71" s="493"/>
      <c r="D71" s="493"/>
      <c r="E71" s="493"/>
    </row>
    <row r="72" spans="2:12">
      <c r="B72" s="493"/>
      <c r="C72" s="493"/>
      <c r="D72" s="493"/>
      <c r="E72" s="493"/>
    </row>
    <row r="73" spans="2:12">
      <c r="B73" s="493"/>
      <c r="C73" s="493"/>
      <c r="D73" s="493"/>
      <c r="E73" s="493"/>
    </row>
    <row r="74" spans="2:12">
      <c r="B74" s="493"/>
      <c r="C74" s="493"/>
      <c r="D74" s="493"/>
      <c r="E74" s="493"/>
    </row>
    <row r="75" spans="2:12">
      <c r="B75" s="493"/>
      <c r="C75" s="493"/>
      <c r="D75" s="493"/>
      <c r="E75" s="493"/>
    </row>
    <row r="76" spans="2:12">
      <c r="B76" s="493"/>
      <c r="C76" s="493"/>
      <c r="D76" s="493"/>
      <c r="E76" s="493"/>
    </row>
    <row r="77" spans="2:12">
      <c r="B77" s="493"/>
      <c r="C77" s="493"/>
      <c r="D77" s="493"/>
      <c r="E77" s="493"/>
    </row>
    <row r="78" spans="2:12">
      <c r="B78" s="493"/>
      <c r="C78" s="493"/>
      <c r="D78" s="493"/>
      <c r="E78" s="493"/>
    </row>
    <row r="79" spans="2:12">
      <c r="B79" s="493"/>
      <c r="C79" s="493"/>
      <c r="D79" s="493"/>
      <c r="E79" s="493"/>
    </row>
    <row r="80" spans="2:12">
      <c r="B80" s="493"/>
      <c r="C80" s="493"/>
      <c r="D80" s="493"/>
      <c r="E80" s="493"/>
    </row>
    <row r="81" spans="2:5">
      <c r="B81" s="493"/>
      <c r="C81" s="493"/>
      <c r="D81" s="493"/>
      <c r="E81" s="493"/>
    </row>
    <row r="82" spans="2:5">
      <c r="B82" s="493"/>
      <c r="C82" s="493"/>
      <c r="D82" s="493"/>
      <c r="E82" s="493"/>
    </row>
    <row r="83" spans="2:5">
      <c r="B83" s="493"/>
      <c r="C83" s="493"/>
      <c r="D83" s="493"/>
      <c r="E83" s="493"/>
    </row>
    <row r="84" spans="2:5">
      <c r="B84" s="493"/>
      <c r="C84" s="493"/>
      <c r="D84" s="493"/>
      <c r="E84" s="493"/>
    </row>
    <row r="85" spans="2:5">
      <c r="B85" s="493"/>
      <c r="C85" s="493"/>
      <c r="D85" s="493"/>
      <c r="E85" s="493"/>
    </row>
    <row r="86" spans="2:5">
      <c r="B86" s="493"/>
      <c r="C86" s="493"/>
      <c r="D86" s="493"/>
      <c r="E86" s="493"/>
    </row>
    <row r="87" spans="2:5">
      <c r="B87" s="493"/>
      <c r="C87" s="493"/>
      <c r="D87" s="493"/>
      <c r="E87" s="493"/>
    </row>
    <row r="88" spans="2:5">
      <c r="B88" s="493"/>
      <c r="C88" s="493"/>
      <c r="D88" s="493"/>
      <c r="E88" s="493"/>
    </row>
    <row r="89" spans="2:5">
      <c r="B89" s="493"/>
      <c r="C89" s="493"/>
      <c r="D89" s="493"/>
      <c r="E89" s="493"/>
    </row>
    <row r="90" spans="2:5">
      <c r="B90" s="493"/>
      <c r="C90" s="493"/>
      <c r="D90" s="493"/>
      <c r="E90" s="493"/>
    </row>
    <row r="91" spans="2:5">
      <c r="B91" s="493"/>
      <c r="C91" s="493"/>
      <c r="D91" s="493"/>
      <c r="E91" s="493"/>
    </row>
    <row r="92" spans="2:5">
      <c r="B92" s="493"/>
      <c r="C92" s="493"/>
      <c r="D92" s="493"/>
      <c r="E92" s="493"/>
    </row>
    <row r="93" spans="2:5">
      <c r="B93" s="493"/>
      <c r="C93" s="493"/>
      <c r="D93" s="493"/>
      <c r="E93" s="493"/>
    </row>
    <row r="94" spans="2:5">
      <c r="B94" s="493"/>
      <c r="C94" s="493"/>
      <c r="D94" s="493"/>
      <c r="E94" s="493"/>
    </row>
    <row r="95" spans="2:5">
      <c r="B95" s="493"/>
      <c r="C95" s="493"/>
      <c r="D95" s="493"/>
      <c r="E95" s="493"/>
    </row>
    <row r="96" spans="2:5">
      <c r="B96" s="493"/>
      <c r="C96" s="493"/>
      <c r="D96" s="493"/>
      <c r="E96" s="493"/>
    </row>
    <row r="97" spans="2:5">
      <c r="B97" s="493"/>
      <c r="C97" s="493"/>
      <c r="D97" s="493"/>
      <c r="E97" s="493"/>
    </row>
    <row r="98" spans="2:5">
      <c r="B98" s="493"/>
      <c r="C98" s="493"/>
      <c r="D98" s="493"/>
      <c r="E98" s="493"/>
    </row>
    <row r="99" spans="2:5">
      <c r="B99" s="493"/>
      <c r="C99" s="493"/>
      <c r="D99" s="493"/>
      <c r="E99" s="493"/>
    </row>
    <row r="100" spans="2:5">
      <c r="B100" s="493"/>
      <c r="C100" s="493"/>
      <c r="D100" s="493"/>
      <c r="E100" s="493"/>
    </row>
    <row r="101" spans="2:5">
      <c r="B101" s="493"/>
      <c r="C101" s="493"/>
      <c r="D101" s="493"/>
      <c r="E101" s="493"/>
    </row>
    <row r="102" spans="2:5">
      <c r="B102" s="493"/>
      <c r="C102" s="493"/>
      <c r="D102" s="493"/>
      <c r="E102" s="493"/>
    </row>
    <row r="103" spans="2:5">
      <c r="B103" s="493"/>
      <c r="C103" s="493"/>
      <c r="D103" s="493"/>
      <c r="E103" s="493"/>
    </row>
    <row r="104" spans="2:5">
      <c r="B104" s="493"/>
      <c r="C104" s="493"/>
      <c r="D104" s="493"/>
      <c r="E104" s="493"/>
    </row>
    <row r="105" spans="2:5">
      <c r="B105" s="493"/>
      <c r="C105" s="493"/>
      <c r="D105" s="493"/>
      <c r="E105" s="493"/>
    </row>
    <row r="106" spans="2:5">
      <c r="B106" s="493"/>
      <c r="C106" s="493"/>
      <c r="D106" s="493"/>
      <c r="E106" s="493"/>
    </row>
    <row r="107" spans="2:5">
      <c r="B107" s="493"/>
      <c r="C107" s="493"/>
      <c r="D107" s="493"/>
      <c r="E107" s="493"/>
    </row>
    <row r="108" spans="2:5">
      <c r="B108" s="493"/>
      <c r="C108" s="493"/>
      <c r="D108" s="493"/>
      <c r="E108" s="493"/>
    </row>
    <row r="109" spans="2:5">
      <c r="B109" s="493"/>
      <c r="C109" s="493"/>
      <c r="D109" s="493"/>
      <c r="E109" s="493"/>
    </row>
    <row r="110" spans="2:5">
      <c r="B110" s="493"/>
      <c r="C110" s="493"/>
      <c r="D110" s="493"/>
      <c r="E110" s="493"/>
    </row>
    <row r="111" spans="2:5">
      <c r="B111" s="493"/>
      <c r="C111" s="493"/>
      <c r="D111" s="493"/>
      <c r="E111" s="493"/>
    </row>
    <row r="112" spans="2:5">
      <c r="B112" s="493"/>
      <c r="C112" s="493"/>
      <c r="D112" s="493"/>
      <c r="E112" s="493"/>
    </row>
    <row r="113" spans="2:5">
      <c r="B113" s="493"/>
      <c r="C113" s="493"/>
      <c r="D113" s="493"/>
      <c r="E113" s="493"/>
    </row>
    <row r="114" spans="2:5">
      <c r="B114" s="493"/>
      <c r="C114" s="493"/>
      <c r="D114" s="493"/>
      <c r="E114" s="493"/>
    </row>
    <row r="115" spans="2:5">
      <c r="B115" s="493"/>
      <c r="E115" s="493"/>
    </row>
    <row r="116" spans="2:5">
      <c r="B116" s="493"/>
      <c r="E116" s="493"/>
    </row>
    <row r="117" spans="2:5">
      <c r="B117" s="493"/>
      <c r="E117" s="493"/>
    </row>
    <row r="118" spans="2:5">
      <c r="B118" s="493"/>
      <c r="E118" s="493"/>
    </row>
    <row r="119" spans="2:5">
      <c r="B119" s="493"/>
      <c r="E119" s="493"/>
    </row>
  </sheetData>
  <mergeCells count="13">
    <mergeCell ref="B2:G2"/>
    <mergeCell ref="D3:E3"/>
    <mergeCell ref="F3:G3"/>
    <mergeCell ref="D4:G4"/>
    <mergeCell ref="B9:B11"/>
    <mergeCell ref="B3:C5"/>
    <mergeCell ref="B6:B8"/>
    <mergeCell ref="B12:B13"/>
    <mergeCell ref="B14:B16"/>
    <mergeCell ref="B19:C19"/>
    <mergeCell ref="B20:C20"/>
    <mergeCell ref="B18:C18"/>
    <mergeCell ref="B17:D17"/>
  </mergeCells>
  <conditionalFormatting sqref="B12 D17 B17:B20 C6:C13">
    <cfRule type="cellIs" dxfId="22" priority="20" operator="equal">
      <formula>0</formula>
    </cfRule>
  </conditionalFormatting>
  <conditionalFormatting sqref="E5">
    <cfRule type="cellIs" dxfId="21" priority="12" operator="equal">
      <formula>0</formula>
    </cfRule>
  </conditionalFormatting>
  <conditionalFormatting sqref="D6:E13">
    <cfRule type="cellIs" dxfId="20" priority="11" operator="equal">
      <formula>0</formula>
    </cfRule>
  </conditionalFormatting>
  <conditionalFormatting sqref="G5">
    <cfRule type="cellIs" dxfId="19" priority="10" operator="equal">
      <formula>0</formula>
    </cfRule>
  </conditionalFormatting>
  <conditionalFormatting sqref="C14:C16">
    <cfRule type="cellIs" dxfId="18" priority="5" operator="equal">
      <formula>0</formula>
    </cfRule>
  </conditionalFormatting>
  <conditionalFormatting sqref="D14:E16">
    <cfRule type="cellIs" dxfId="17" priority="4" operator="equal">
      <formula>0</formula>
    </cfRule>
  </conditionalFormatting>
  <conditionalFormatting sqref="F6:G13">
    <cfRule type="cellIs" dxfId="16" priority="1" operator="equal">
      <formula>0</formula>
    </cfRule>
  </conditionalFormatting>
  <conditionalFormatting sqref="F14:G16">
    <cfRule type="cellIs" dxfId="15" priority="2" operator="equal">
      <formula>0</formula>
    </cfRule>
  </conditionalFormatting>
  <hyperlinks>
    <hyperlink ref="C1" location="Содержание!A1" display="Вернуться в содержание"/>
  </hyperlinks>
  <printOptions horizontalCentered="1"/>
  <pageMargins left="0.23622047244094491" right="0.23622047244094491" top="0.11811023622047245" bottom="0.39370078740157483" header="0.59055118110236227" footer="0.31496062992125984"/>
  <pageSetup paperSize="9" scale="60" firstPageNumber="49" orientation="landscape" useFirstPageNumber="1" r:id="rId1"/>
  <headerFooter>
    <oddFooter>&amp;L&amp;P&amp;R&amp;G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33">
    <tabColor rgb="FF92D050"/>
  </sheetPr>
  <dimension ref="A1:XFA35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D3" sqref="D3:H3"/>
    </sheetView>
  </sheetViews>
  <sheetFormatPr defaultColWidth="8.85546875" defaultRowHeight="15"/>
  <cols>
    <col min="1" max="1" width="3.140625" style="73" customWidth="1"/>
    <col min="2" max="2" width="9.85546875" style="73" customWidth="1"/>
    <col min="3" max="3" width="36.28515625" style="73" customWidth="1"/>
    <col min="4" max="8" width="20.7109375" style="77" customWidth="1"/>
    <col min="10" max="30" width="8.85546875" style="77"/>
    <col min="31" max="16384" width="8.85546875" style="73"/>
  </cols>
  <sheetData>
    <row r="1" spans="1:30" ht="18" customHeight="1">
      <c r="A1" s="13"/>
      <c r="B1" s="1034" t="s">
        <v>307</v>
      </c>
      <c r="C1" s="332"/>
    </row>
    <row r="2" spans="1:30" ht="15.75" thickBot="1">
      <c r="A2" s="2460"/>
      <c r="B2" s="3354" t="s">
        <v>1778</v>
      </c>
      <c r="C2" s="3355"/>
      <c r="D2" s="3355"/>
      <c r="E2" s="3355"/>
      <c r="F2" s="3355"/>
      <c r="G2" s="3355"/>
      <c r="H2" s="3355"/>
      <c r="Z2" s="73"/>
      <c r="AA2" s="73"/>
      <c r="AB2" s="73"/>
      <c r="AC2" s="73"/>
      <c r="AD2" s="73"/>
    </row>
    <row r="3" spans="1:30" s="74" customFormat="1" ht="18" customHeight="1">
      <c r="A3" s="77"/>
      <c r="B3" s="2680" t="s">
        <v>1746</v>
      </c>
      <c r="C3" s="2680"/>
      <c r="D3" s="3359" t="s">
        <v>1748</v>
      </c>
      <c r="E3" s="3360"/>
      <c r="F3" s="3361"/>
      <c r="G3" s="3361"/>
      <c r="H3" s="3362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30" s="75" customFormat="1">
      <c r="A4" s="342"/>
      <c r="B4" s="2680"/>
      <c r="C4" s="2680"/>
      <c r="D4" s="3356" t="s">
        <v>28</v>
      </c>
      <c r="E4" s="3357"/>
      <c r="F4" s="3363" t="s">
        <v>524</v>
      </c>
      <c r="G4" s="3363"/>
      <c r="H4" s="3364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</row>
    <row r="5" spans="1:30" s="75" customFormat="1" ht="12.75">
      <c r="A5" s="342"/>
      <c r="B5" s="2680"/>
      <c r="C5" s="2680"/>
      <c r="D5" s="3367" t="s">
        <v>207</v>
      </c>
      <c r="E5" s="3368"/>
      <c r="F5" s="3369" t="s">
        <v>1745</v>
      </c>
      <c r="G5" s="3369" t="s">
        <v>2236</v>
      </c>
      <c r="H5" s="3371" t="s">
        <v>1322</v>
      </c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</row>
    <row r="6" spans="1:30" s="76" customFormat="1" ht="15" customHeight="1">
      <c r="A6" s="1147"/>
      <c r="B6" s="2680"/>
      <c r="C6" s="2680"/>
      <c r="D6" s="2457" t="s">
        <v>2234</v>
      </c>
      <c r="E6" s="2456" t="s">
        <v>907</v>
      </c>
      <c r="F6" s="3370"/>
      <c r="G6" s="3370"/>
      <c r="H6" s="3372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</row>
    <row r="7" spans="1:30" ht="35.1" customHeight="1">
      <c r="A7" s="1147"/>
      <c r="B7" s="3365" t="str">
        <f>Перегородки_база!B19</f>
        <v>Триплекс
4+4 мм</v>
      </c>
      <c r="C7" s="2458" t="str">
        <f>Перегородки_база!C19</f>
        <v>прозрачное Флоат 
(прозрачная пленка)</v>
      </c>
      <c r="D7" s="2439">
        <f>Перегородки_база!G19*(1+скидки_наценки!$B$28)*скидки_наценки!$D$19*скидки_наценки!$F$19/скидки_наценки!$B$4</f>
        <v>17590</v>
      </c>
      <c r="E7" s="2439">
        <f>Перегородки_база!H19*(1+скидки_наценки!$B$28)*скидки_наценки!$D$19*скидки_наценки!$F$19/скидки_наценки!$B$4</f>
        <v>19350</v>
      </c>
      <c r="F7" s="2439">
        <f>Перегородки_база!I19*(1+скидки_наценки!$B$28)*скидки_наценки!$D$19*скидки_наценки!$F$19/скидки_наценки!$B$4</f>
        <v>18470</v>
      </c>
      <c r="G7" s="2439">
        <f>Перегородки_база!J19*(1+скидки_наценки!$B$28)*скидки_наценки!$D$19*скидки_наценки!$F$19/скидки_наценки!$B$4</f>
        <v>19350</v>
      </c>
      <c r="H7" s="2439">
        <f>Перегородки_база!K19*(1+скидки_наценки!$B$28)*скидки_наценки!$D$19*скидки_наценки!$F$19/скидки_наценки!$B$4</f>
        <v>20230</v>
      </c>
      <c r="Z7" s="73"/>
      <c r="AA7" s="73"/>
      <c r="AB7" s="73"/>
      <c r="AC7" s="73"/>
      <c r="AD7" s="73"/>
    </row>
    <row r="8" spans="1:30" s="76" customFormat="1" ht="35.1" customHeight="1">
      <c r="A8" s="1147"/>
      <c r="B8" s="3366"/>
      <c r="C8" s="2459" t="str">
        <f>Перегородки_база!C20</f>
        <v>Бронза, Грей 
(прозрачная пленка)</v>
      </c>
      <c r="D8" s="2435">
        <f>Перегородки_база!G20*(1+скидки_наценки!$B$28)*скидки_наценки!$D$19*скидки_наценки!$F$19/скидки_наценки!$B$4</f>
        <v>18470</v>
      </c>
      <c r="E8" s="2435">
        <f>Перегородки_база!H20*(1+скидки_наценки!$B$28)*скидки_наценки!$D$19*скидки_наценки!$F$19/скидки_наценки!$B$4</f>
        <v>20320</v>
      </c>
      <c r="F8" s="2435">
        <f>Перегородки_база!I20*(1+скидки_наценки!$B$28)*скидки_наценки!$D$19*скидки_наценки!$F$19/скидки_наценки!$B$4</f>
        <v>19400</v>
      </c>
      <c r="G8" s="2435">
        <f>Перегородки_база!J20*(1+скидки_наценки!$B$28)*скидки_наценки!$D$19*скидки_наценки!$F$19/скидки_наценки!$B$4</f>
        <v>20320</v>
      </c>
      <c r="H8" s="2435">
        <f>Перегородки_база!K20*(1+скидки_наценки!$B$28)*скидки_наценки!$D$19*скидки_наценки!$F$19/скидки_наценки!$B$4</f>
        <v>21250</v>
      </c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</row>
    <row r="9" spans="1:30" s="76" customFormat="1" ht="35.1" customHeight="1">
      <c r="A9" s="1147"/>
      <c r="B9" s="3366"/>
      <c r="C9" s="2458" t="str">
        <f>Перегородки_база!C21</f>
        <v>Белое, Серое 
(цветная пленка)</v>
      </c>
      <c r="D9" s="2439">
        <f>Перегородки_база!G21*(1+скидки_наценки!$B$28)*скидки_наценки!$D$19*скидки_наценки!$F$19/скидки_наценки!$B$4</f>
        <v>19350</v>
      </c>
      <c r="E9" s="2439">
        <f>Перегородки_база!H21*(1+скидки_наценки!$B$28)*скидки_наценки!$D$19*скидки_наценки!$F$19/скидки_наценки!$B$4</f>
        <v>21290</v>
      </c>
      <c r="F9" s="2439">
        <f>Перегородки_база!I21*(1+скидки_наценки!$B$28)*скидки_наценки!$D$19*скидки_наценки!$F$19/скидки_наценки!$B$4</f>
        <v>20320</v>
      </c>
      <c r="G9" s="2439">
        <f>Перегородки_база!J21*(1+скидки_наценки!$B$28)*скидки_наценки!$D$19*скидки_наценки!$F$19/скидки_наценки!$B$4</f>
        <v>21290</v>
      </c>
      <c r="H9" s="2439">
        <f>Перегородки_база!K21*(1+скидки_наценки!$B$28)*скидки_наценки!$D$19*скидки_наценки!$F$19/скидки_наценки!$B$4</f>
        <v>22260</v>
      </c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</row>
    <row r="10" spans="1:30" ht="35.1" customHeight="1">
      <c r="A10" s="79"/>
      <c r="B10" s="3366"/>
      <c r="C10" s="2459" t="str">
        <f>Перегородки_база!C22</f>
        <v>Зеркало "Серебро", "Бронза", "Графит"</v>
      </c>
      <c r="D10" s="2435">
        <f>Перегородки_база!G22*(1+скидки_наценки!$B$28)*скидки_наценки!$D$19*скидки_наценки!$F$19/скидки_наценки!$B$4</f>
        <v>21110</v>
      </c>
      <c r="E10" s="2435">
        <f>Перегородки_база!H22*(1+скидки_наценки!$B$28)*скидки_наценки!$D$19*скидки_наценки!$F$19/скидки_наценки!$B$4</f>
        <v>23220</v>
      </c>
      <c r="F10" s="2435">
        <f>Перегородки_база!I22*(1+скидки_наценки!$B$28)*скидки_наценки!$D$19*скидки_наценки!$F$19/скидки_наценки!$B$4</f>
        <v>22170</v>
      </c>
      <c r="G10" s="2435">
        <f>Перегородки_база!J22*(1+скидки_наценки!$B$28)*скидки_наценки!$D$19*скидки_наценки!$F$19/скидки_наценки!$B$4</f>
        <v>23220</v>
      </c>
      <c r="H10" s="2435">
        <f>Перегородки_база!K22*(1+скидки_наценки!$B$28)*скидки_наценки!$D$19*скидки_наценки!$F$19/скидки_наценки!$B$4</f>
        <v>24280</v>
      </c>
      <c r="Z10" s="73"/>
      <c r="AA10" s="73"/>
      <c r="AB10" s="73"/>
      <c r="AC10" s="73"/>
      <c r="AD10" s="73"/>
    </row>
    <row r="11" spans="1:30" ht="35.1" customHeight="1">
      <c r="A11" s="79"/>
      <c r="B11" s="3366"/>
      <c r="C11" s="2458" t="str">
        <f>Перегородки_база!C23</f>
        <v>Зеркало Cатин "Серебро", "Бронза", "Графит"</v>
      </c>
      <c r="D11" s="2439">
        <f>Перегородки_база!G23*(1+скидки_наценки!$B$28)*скидки_наценки!$D$19*скидки_наценки!$F$19/скидки_наценки!$B$4</f>
        <v>22870</v>
      </c>
      <c r="E11" s="2439">
        <f>Перегородки_база!H23*(1+скидки_наценки!$B$28)*скидки_наценки!$D$19*скидки_наценки!$F$19/скидки_наценки!$B$4</f>
        <v>25160</v>
      </c>
      <c r="F11" s="2439">
        <f>Перегородки_база!I23*(1+скидки_наценки!$B$28)*скидки_наценки!$D$19*скидки_наценки!$F$19/скидки_наценки!$B$4</f>
        <v>24020</v>
      </c>
      <c r="G11" s="2439">
        <f>Перегородки_база!J23*(1+скидки_наценки!$B$28)*скидки_наценки!$D$19*скидки_наценки!$F$19/скидки_наценки!$B$4</f>
        <v>25160</v>
      </c>
      <c r="H11" s="2439">
        <f>Перегородки_база!K23*(1+скидки_наценки!$B$28)*скидки_наценки!$D$19*скидки_наценки!$F$19/скидки_наценки!$B$4</f>
        <v>26300</v>
      </c>
      <c r="Z11" s="73"/>
      <c r="AA11" s="73"/>
      <c r="AB11" s="73"/>
      <c r="AC11" s="73"/>
      <c r="AD11" s="73"/>
    </row>
    <row r="12" spans="1:30" ht="35.1" customHeight="1">
      <c r="B12" s="3366"/>
      <c r="C12" s="2459" t="str">
        <f>Перегородки_база!C24</f>
        <v>прозрачное Optiwhite 
(прозрачная пленка)</v>
      </c>
      <c r="D12" s="2435">
        <f>Перегородки_база!G24*(1+скидки_наценки!$B$28)*скидки_наценки!$D$19*скидки_наценки!$F$19/скидки_наценки!$B$4</f>
        <v>25510</v>
      </c>
      <c r="E12" s="2435">
        <f>Перегородки_база!H24*(1+скидки_наценки!$B$28)*скидки_наценки!$D$19*скидки_наценки!$F$19/скидки_наценки!$B$4</f>
        <v>28060</v>
      </c>
      <c r="F12" s="2435">
        <f>Перегородки_база!I24*(1+скидки_наценки!$B$28)*скидки_наценки!$D$19*скидки_наценки!$F$19/скидки_наценки!$B$4</f>
        <v>26790</v>
      </c>
      <c r="G12" s="2435">
        <f>Перегородки_база!J24*(1+скидки_наценки!$B$28)*скидки_наценки!$D$19*скидки_наценки!$F$19/скидки_наценки!$B$4</f>
        <v>28060</v>
      </c>
      <c r="H12" s="2435">
        <f>Перегородки_база!K24*(1+скидки_наценки!$B$28)*скидки_наценки!$D$19*скидки_наценки!$F$19/скидки_наценки!$B$4</f>
        <v>29340</v>
      </c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</row>
    <row r="13" spans="1:30" ht="35.1" customHeight="1">
      <c r="A13" s="79"/>
      <c r="B13" s="3366"/>
      <c r="C13" s="2458" t="str">
        <f>Перегородки_база!C25</f>
        <v>Дарк Грей 
(прозрачная пленка)</v>
      </c>
      <c r="D13" s="2439">
        <f>Перегородки_база!G25*(1+скидки_наценки!$B$28)*скидки_наценки!$D$19*скидки_наценки!$F$19/скидки_наценки!$B$4</f>
        <v>27270</v>
      </c>
      <c r="E13" s="2439">
        <f>Перегородки_база!H25*(1+скидки_наценки!$B$28)*скидки_наценки!$D$19*скидки_наценки!$F$19/скидки_наценки!$B$4</f>
        <v>30000</v>
      </c>
      <c r="F13" s="2439">
        <f>Перегородки_база!I25*(1+скидки_наценки!$B$28)*скидки_наценки!$D$19*скидки_наценки!$F$19/скидки_наценки!$B$4</f>
        <v>28630</v>
      </c>
      <c r="G13" s="2439">
        <f>Перегородки_база!J25*(1+скидки_наценки!$B$28)*скидки_наценки!$D$19*скидки_наценки!$F$19/скидки_наценки!$B$4</f>
        <v>30000</v>
      </c>
      <c r="H13" s="2439">
        <f>Перегородки_база!K25*(1+скидки_наценки!$B$28)*скидки_наценки!$D$19*скидки_наценки!$F$19/скидки_наценки!$B$4</f>
        <v>31360</v>
      </c>
      <c r="Z13" s="73"/>
      <c r="AA13" s="73"/>
      <c r="AB13" s="73"/>
      <c r="AC13" s="73"/>
      <c r="AD13" s="73"/>
    </row>
    <row r="14" spans="1:30" ht="35.1" customHeight="1">
      <c r="A14" s="79"/>
      <c r="B14" s="3358" t="str">
        <f>Перегородки_база!B26</f>
        <v>Дизайнерские стекла 8мм</v>
      </c>
      <c r="C14" s="2459" t="str">
        <f>Перегородки_база!C26</f>
        <v>Стекло рифленое Moru-Ultra</v>
      </c>
      <c r="D14" s="2435">
        <f>Перегородки_база!G26*(1+скидки_наценки!$B$28)*скидки_наценки!$D$19*скидки_наценки!$F$19/скидки_наценки!$B$4</f>
        <v>35180</v>
      </c>
      <c r="E14" s="2435">
        <f>Перегородки_база!H26*(1+скидки_наценки!$B$28)*скидки_наценки!$D$19*скидки_наценки!$F$19/скидки_наценки!$B$4</f>
        <v>38700</v>
      </c>
      <c r="F14" s="2435">
        <f>Перегородки_база!I26*(1+скидки_наценки!$B$28)*скидки_наценки!$D$19*скидки_наценки!$F$19/скидки_наценки!$B$4</f>
        <v>36940</v>
      </c>
      <c r="G14" s="2435">
        <f>Перегородки_база!J26*(1+скидки_наценки!$B$28)*скидки_наценки!$D$19*скидки_наценки!$F$19/скидки_наценки!$B$4</f>
        <v>38700</v>
      </c>
      <c r="H14" s="2435">
        <f>Перегородки_база!K26*(1+скидки_наценки!$B$28)*скидки_наценки!$D$19*скидки_наценки!$F$19/скидки_наценки!$B$4</f>
        <v>40460</v>
      </c>
      <c r="Z14" s="73"/>
      <c r="AA14" s="73"/>
      <c r="AB14" s="73"/>
      <c r="AC14" s="73"/>
      <c r="AD14" s="73"/>
    </row>
    <row r="15" spans="1:30" ht="35.1" customHeight="1">
      <c r="A15" s="79"/>
      <c r="B15" s="3358"/>
      <c r="C15" s="2458" t="str">
        <f>Перегородки_база!C27</f>
        <v>Стекло рифленое Moru-Rainbow</v>
      </c>
      <c r="D15" s="2439">
        <f>Перегородки_база!G27*(1+скидки_наценки!$B$28)*скидки_наценки!$D$19*скидки_наценки!$F$19/скидки_наценки!$B$4</f>
        <v>35180</v>
      </c>
      <c r="E15" s="2439">
        <f>Перегородки_база!H27*(1+скидки_наценки!$B$28)*скидки_наценки!$D$19*скидки_наценки!$F$19/скидки_наценки!$B$4</f>
        <v>38700</v>
      </c>
      <c r="F15" s="2439">
        <f>Перегородки_база!I27*(1+скидки_наценки!$B$28)*скидки_наценки!$D$19*скидки_наценки!$F$19/скидки_наценки!$B$4</f>
        <v>36940</v>
      </c>
      <c r="G15" s="2439">
        <f>Перегородки_база!J27*(1+скидки_наценки!$B$28)*скидки_наценки!$D$19*скидки_наценки!$F$19/скидки_наценки!$B$4</f>
        <v>38700</v>
      </c>
      <c r="H15" s="2439">
        <f>Перегородки_база!K27*(1+скидки_наценки!$B$28)*скидки_наценки!$D$19*скидки_наценки!$F$19/скидки_наценки!$B$4</f>
        <v>40460</v>
      </c>
      <c r="I15" s="471"/>
      <c r="Z15" s="73"/>
      <c r="AA15" s="73"/>
      <c r="AB15" s="73"/>
      <c r="AC15" s="73"/>
      <c r="AD15" s="73"/>
    </row>
    <row r="16" spans="1:30" ht="35.1" customHeight="1">
      <c r="A16" s="79"/>
      <c r="B16" s="3358"/>
      <c r="C16" s="2459" t="str">
        <f>Перегородки_база!C28</f>
        <v>Стекло рифленое Estriado</v>
      </c>
      <c r="D16" s="2435">
        <f>Перегородки_база!G28*(1+скидки_наценки!$B$28)*скидки_наценки!$D$19*скидки_наценки!$F$19/скидки_наценки!$B$4</f>
        <v>35180</v>
      </c>
      <c r="E16" s="2435">
        <f>Перегородки_база!H28*(1+скидки_наценки!$B$28)*скидки_наценки!$D$19*скидки_наценки!$F$19/скидки_наценки!$B$4</f>
        <v>38700</v>
      </c>
      <c r="F16" s="2435">
        <f>Перегородки_база!I28*(1+скидки_наценки!$B$28)*скидки_наценки!$D$19*скидки_наценки!$F$19/скидки_наценки!$B$4</f>
        <v>36940</v>
      </c>
      <c r="G16" s="2435">
        <f>Перегородки_база!J28*(1+скидки_наценки!$B$28)*скидки_наценки!$D$19*скидки_наценки!$F$19/скидки_наценки!$B$4</f>
        <v>38700</v>
      </c>
      <c r="H16" s="2435">
        <f>Перегородки_база!K28*(1+скидки_наценки!$B$28)*скидки_наценки!$D$19*скидки_наценки!$F$19/скидки_наценки!$B$4</f>
        <v>40460</v>
      </c>
      <c r="I16" s="471"/>
      <c r="Z16" s="73"/>
      <c r="AA16" s="73"/>
      <c r="AB16" s="73"/>
      <c r="AC16" s="73"/>
      <c r="AD16" s="73"/>
    </row>
    <row r="17" spans="1:16381" ht="18" customHeight="1">
      <c r="A17" s="79"/>
      <c r="B17" s="77"/>
      <c r="C17" s="77"/>
      <c r="Z17" s="73"/>
      <c r="AA17" s="73"/>
      <c r="AB17" s="73"/>
      <c r="AC17" s="73"/>
      <c r="AD17" s="73"/>
    </row>
    <row r="18" spans="1:16381" ht="18" customHeight="1">
      <c r="B18" s="230" t="s">
        <v>99</v>
      </c>
    </row>
    <row r="19" spans="1:16381">
      <c r="B19" s="1773" t="s">
        <v>2231</v>
      </c>
    </row>
    <row r="20" spans="1:16381">
      <c r="B20" s="1773" t="s">
        <v>1955</v>
      </c>
    </row>
    <row r="21" spans="1:16381">
      <c r="B21" s="1773" t="s">
        <v>2235</v>
      </c>
    </row>
    <row r="22" spans="1:16381" ht="15.75">
      <c r="A22" s="1773"/>
      <c r="B22" s="429"/>
      <c r="C22" s="1773"/>
      <c r="D22" s="1773"/>
      <c r="E22" s="1773"/>
      <c r="F22" s="1773"/>
      <c r="G22" s="1773"/>
      <c r="H22" s="1773"/>
      <c r="J22" s="1773"/>
      <c r="K22" s="1773"/>
      <c r="L22" s="1773"/>
      <c r="M22" s="1773"/>
      <c r="N22" s="1773"/>
      <c r="O22" s="1773"/>
      <c r="P22" s="1773"/>
      <c r="Q22" s="1773"/>
      <c r="R22" s="1773"/>
      <c r="S22" s="1773"/>
      <c r="T22" s="1773"/>
      <c r="U22" s="1773"/>
      <c r="V22" s="1773"/>
      <c r="W22" s="1773"/>
      <c r="X22" s="1773"/>
      <c r="Y22" s="1773"/>
      <c r="Z22" s="1773"/>
      <c r="AA22" s="1773"/>
      <c r="AB22" s="1773"/>
      <c r="AC22" s="1773"/>
      <c r="AD22" s="1773"/>
      <c r="AE22" s="1773"/>
      <c r="AF22" s="1773"/>
      <c r="AG22" s="1773"/>
      <c r="AH22" s="1773"/>
      <c r="AI22" s="1773"/>
      <c r="AJ22" s="1773"/>
      <c r="AK22" s="1773"/>
      <c r="AL22" s="1773"/>
      <c r="AM22" s="1773"/>
      <c r="AN22" s="1773"/>
      <c r="AO22" s="1773"/>
      <c r="AP22" s="1773"/>
      <c r="AQ22" s="1773"/>
      <c r="AR22" s="1773"/>
      <c r="AS22" s="1773"/>
      <c r="AT22" s="1773"/>
      <c r="AU22" s="1773"/>
      <c r="AV22" s="1773"/>
      <c r="AW22" s="1773"/>
      <c r="AX22" s="1773"/>
      <c r="AY22" s="1773"/>
      <c r="AZ22" s="1773"/>
      <c r="BA22" s="1773"/>
      <c r="BB22" s="1773"/>
      <c r="BC22" s="1773"/>
      <c r="BD22" s="1773"/>
      <c r="BE22" s="1773"/>
      <c r="BF22" s="1773"/>
      <c r="BG22" s="1773"/>
      <c r="BH22" s="1773"/>
      <c r="BI22" s="1773"/>
      <c r="BJ22" s="1773"/>
      <c r="BK22" s="1773"/>
      <c r="BL22" s="1773"/>
      <c r="BM22" s="1773"/>
      <c r="BN22" s="1773"/>
      <c r="BO22" s="1773"/>
      <c r="BP22" s="1773"/>
      <c r="BQ22" s="1773"/>
      <c r="BR22" s="1773"/>
      <c r="BS22" s="1773"/>
      <c r="BT22" s="1773"/>
      <c r="BU22" s="1773"/>
      <c r="BV22" s="1773"/>
      <c r="BW22" s="1773"/>
      <c r="BX22" s="1773"/>
      <c r="BY22" s="1773"/>
      <c r="BZ22" s="1773"/>
      <c r="CA22" s="1773"/>
      <c r="CB22" s="1773"/>
      <c r="CC22" s="1773"/>
      <c r="CD22" s="1773"/>
      <c r="CE22" s="1773"/>
      <c r="CF22" s="1773"/>
      <c r="CG22" s="1773"/>
      <c r="CH22" s="1773"/>
      <c r="CI22" s="1773"/>
      <c r="CJ22" s="1773"/>
      <c r="CK22" s="1773"/>
      <c r="CL22" s="1773"/>
      <c r="CM22" s="1773"/>
      <c r="CN22" s="1773"/>
      <c r="CO22" s="1773"/>
      <c r="CP22" s="1773"/>
      <c r="CQ22" s="1773"/>
      <c r="CR22" s="1773"/>
      <c r="CS22" s="1773"/>
      <c r="CT22" s="1773"/>
      <c r="CU22" s="1773"/>
      <c r="CV22" s="1773"/>
      <c r="CW22" s="1773"/>
      <c r="CX22" s="1773"/>
      <c r="CY22" s="1773"/>
      <c r="CZ22" s="1773"/>
      <c r="DA22" s="1773"/>
      <c r="DB22" s="1773"/>
      <c r="DC22" s="1773"/>
      <c r="DD22" s="1773"/>
      <c r="DE22" s="1773"/>
      <c r="DF22" s="1773"/>
      <c r="DG22" s="1773"/>
      <c r="DH22" s="1773"/>
      <c r="DI22" s="1773"/>
      <c r="DJ22" s="1773"/>
      <c r="DK22" s="1773"/>
      <c r="DL22" s="1773"/>
      <c r="DM22" s="1773"/>
      <c r="DN22" s="1773"/>
      <c r="DO22" s="1773"/>
      <c r="DP22" s="1773"/>
      <c r="DQ22" s="1773"/>
      <c r="DR22" s="1773"/>
      <c r="DS22" s="1773"/>
      <c r="DT22" s="1773"/>
      <c r="DU22" s="1773"/>
      <c r="DV22" s="1773"/>
      <c r="DW22" s="1773"/>
      <c r="DX22" s="1773"/>
      <c r="DY22" s="1773"/>
      <c r="DZ22" s="1773"/>
      <c r="EA22" s="1773"/>
      <c r="EB22" s="1773"/>
      <c r="EC22" s="1773"/>
      <c r="ED22" s="1773"/>
      <c r="EE22" s="1773"/>
      <c r="EF22" s="1773"/>
      <c r="EG22" s="1773"/>
      <c r="EH22" s="1773"/>
      <c r="EI22" s="1773"/>
      <c r="EJ22" s="1773"/>
      <c r="EK22" s="1773"/>
      <c r="EL22" s="1773"/>
      <c r="EM22" s="1773"/>
      <c r="EN22" s="1773"/>
      <c r="EO22" s="1773"/>
      <c r="EP22" s="1773"/>
      <c r="EQ22" s="1773"/>
      <c r="ER22" s="1773"/>
      <c r="ES22" s="1773"/>
      <c r="ET22" s="1773"/>
      <c r="EU22" s="1773"/>
      <c r="EV22" s="1773"/>
      <c r="EW22" s="1773"/>
      <c r="EX22" s="1773"/>
      <c r="EY22" s="1773"/>
      <c r="EZ22" s="1773"/>
      <c r="FA22" s="1773"/>
      <c r="FB22" s="1773"/>
      <c r="FC22" s="1773"/>
      <c r="FD22" s="1773"/>
      <c r="FE22" s="1773"/>
      <c r="FF22" s="1773"/>
      <c r="FG22" s="1773"/>
      <c r="FH22" s="1773"/>
      <c r="FI22" s="1773"/>
      <c r="FJ22" s="1773"/>
      <c r="FK22" s="1773"/>
      <c r="FL22" s="1773"/>
      <c r="FM22" s="1773"/>
      <c r="FN22" s="1773"/>
      <c r="FO22" s="1773"/>
      <c r="FP22" s="1773"/>
      <c r="FQ22" s="1773"/>
      <c r="FR22" s="1773"/>
      <c r="FS22" s="1773"/>
      <c r="FT22" s="1773"/>
      <c r="FU22" s="1773"/>
      <c r="FV22" s="1773"/>
      <c r="FW22" s="1773"/>
      <c r="FX22" s="1773"/>
      <c r="FY22" s="1773"/>
      <c r="FZ22" s="1773"/>
      <c r="GA22" s="1773"/>
      <c r="GB22" s="1773"/>
      <c r="GC22" s="1773"/>
      <c r="GD22" s="1773"/>
      <c r="GE22" s="1773"/>
      <c r="GF22" s="1773"/>
      <c r="GG22" s="1773"/>
      <c r="GH22" s="1773"/>
      <c r="GI22" s="1773"/>
      <c r="GJ22" s="1773"/>
      <c r="GK22" s="1773"/>
      <c r="GL22" s="1773"/>
      <c r="GM22" s="1773"/>
      <c r="GN22" s="1773"/>
      <c r="GO22" s="1773"/>
      <c r="GP22" s="1773"/>
      <c r="GQ22" s="1773"/>
      <c r="GR22" s="1773"/>
      <c r="GS22" s="1773"/>
      <c r="GT22" s="1773"/>
      <c r="GU22" s="1773"/>
      <c r="GV22" s="1773"/>
      <c r="GW22" s="1773"/>
      <c r="GX22" s="1773"/>
      <c r="GY22" s="1773"/>
      <c r="GZ22" s="1773"/>
      <c r="HA22" s="1773"/>
      <c r="HB22" s="1773"/>
      <c r="HC22" s="1773"/>
      <c r="HD22" s="1773"/>
      <c r="HE22" s="1773"/>
      <c r="HF22" s="1773"/>
      <c r="HG22" s="1773"/>
      <c r="HH22" s="1773"/>
      <c r="HI22" s="1773"/>
      <c r="HJ22" s="1773"/>
      <c r="HK22" s="1773"/>
      <c r="HL22" s="1773"/>
      <c r="HM22" s="1773"/>
      <c r="HN22" s="1773"/>
      <c r="HO22" s="1773"/>
      <c r="HP22" s="1773"/>
      <c r="HQ22" s="1773"/>
      <c r="HR22" s="1773"/>
      <c r="HS22" s="1773"/>
      <c r="HT22" s="1773"/>
      <c r="HU22" s="1773"/>
      <c r="HV22" s="1773"/>
      <c r="HW22" s="1773"/>
      <c r="HX22" s="1773"/>
      <c r="HY22" s="1773"/>
      <c r="HZ22" s="1773"/>
      <c r="IA22" s="1773"/>
      <c r="IB22" s="1773"/>
      <c r="IC22" s="1773"/>
      <c r="ID22" s="1773"/>
      <c r="IE22" s="1773"/>
      <c r="IF22" s="1773"/>
      <c r="IG22" s="1773"/>
      <c r="IH22" s="1773"/>
      <c r="II22" s="1773"/>
      <c r="IJ22" s="1773"/>
      <c r="IK22" s="1773"/>
      <c r="IL22" s="1773"/>
      <c r="IM22" s="1773"/>
      <c r="IN22" s="1773"/>
      <c r="IO22" s="1773"/>
      <c r="IP22" s="1773"/>
      <c r="IQ22" s="1773"/>
      <c r="IR22" s="1773"/>
      <c r="IS22" s="1773"/>
      <c r="IT22" s="1773"/>
      <c r="IU22" s="1773"/>
      <c r="IV22" s="1773"/>
      <c r="IW22" s="1773"/>
      <c r="IX22" s="1773"/>
      <c r="IY22" s="1773"/>
      <c r="IZ22" s="1773"/>
      <c r="JA22" s="1773"/>
      <c r="JB22" s="1773"/>
      <c r="JC22" s="1773"/>
      <c r="JD22" s="1773"/>
      <c r="JE22" s="1773"/>
      <c r="JF22" s="1773"/>
      <c r="JG22" s="1773"/>
      <c r="JH22" s="1773"/>
      <c r="JI22" s="1773"/>
      <c r="JJ22" s="1773"/>
      <c r="JK22" s="1773"/>
      <c r="JL22" s="1773"/>
      <c r="JM22" s="1773"/>
      <c r="JN22" s="1773"/>
      <c r="JO22" s="1773"/>
      <c r="JP22" s="1773"/>
      <c r="JQ22" s="1773"/>
      <c r="JR22" s="1773"/>
      <c r="JS22" s="1773"/>
      <c r="JT22" s="1773"/>
      <c r="JU22" s="1773"/>
      <c r="JV22" s="1773"/>
      <c r="JW22" s="1773"/>
      <c r="JX22" s="1773"/>
      <c r="JY22" s="1773"/>
      <c r="JZ22" s="1773"/>
      <c r="KA22" s="1773"/>
      <c r="KB22" s="1773"/>
      <c r="KC22" s="1773"/>
      <c r="KD22" s="1773"/>
      <c r="KE22" s="1773"/>
      <c r="KF22" s="1773"/>
      <c r="KG22" s="1773"/>
      <c r="KH22" s="1773"/>
      <c r="KI22" s="1773"/>
      <c r="KJ22" s="1773"/>
      <c r="KK22" s="1773"/>
      <c r="KL22" s="1773"/>
      <c r="KM22" s="1773"/>
      <c r="KN22" s="1773"/>
      <c r="KO22" s="1773"/>
      <c r="KP22" s="1773"/>
      <c r="KQ22" s="1773"/>
      <c r="KR22" s="1773"/>
      <c r="KS22" s="1773"/>
      <c r="KT22" s="1773"/>
      <c r="KU22" s="1773"/>
      <c r="KV22" s="1773"/>
      <c r="KW22" s="1773"/>
      <c r="KX22" s="1773"/>
      <c r="KY22" s="1773"/>
      <c r="KZ22" s="1773"/>
      <c r="LA22" s="1773"/>
      <c r="LB22" s="1773"/>
      <c r="LC22" s="1773"/>
      <c r="LD22" s="1773"/>
      <c r="LE22" s="1773"/>
      <c r="LF22" s="1773"/>
      <c r="LG22" s="1773"/>
      <c r="LH22" s="1773"/>
      <c r="LI22" s="1773"/>
      <c r="LJ22" s="1773"/>
      <c r="LK22" s="1773"/>
      <c r="LL22" s="1773"/>
      <c r="LM22" s="1773"/>
      <c r="LN22" s="1773"/>
      <c r="LO22" s="1773"/>
      <c r="LP22" s="1773"/>
      <c r="LQ22" s="1773"/>
      <c r="LR22" s="1773"/>
      <c r="LS22" s="1773"/>
      <c r="LT22" s="1773"/>
      <c r="LU22" s="1773"/>
      <c r="LV22" s="1773"/>
      <c r="LW22" s="1773"/>
      <c r="LX22" s="1773"/>
      <c r="LY22" s="1773"/>
      <c r="LZ22" s="1773"/>
      <c r="MA22" s="1773"/>
      <c r="MB22" s="1773"/>
      <c r="MC22" s="1773"/>
      <c r="MD22" s="1773"/>
      <c r="ME22" s="1773"/>
      <c r="MF22" s="1773"/>
      <c r="MG22" s="1773"/>
      <c r="MH22" s="1773"/>
      <c r="MI22" s="1773"/>
      <c r="MJ22" s="1773"/>
      <c r="MK22" s="1773"/>
      <c r="ML22" s="1773"/>
      <c r="MM22" s="1773"/>
      <c r="MN22" s="1773"/>
      <c r="MO22" s="1773"/>
      <c r="MP22" s="1773"/>
      <c r="MQ22" s="1773"/>
      <c r="MR22" s="1773"/>
      <c r="MS22" s="1773"/>
      <c r="MT22" s="1773"/>
      <c r="MU22" s="1773"/>
      <c r="MV22" s="1773"/>
      <c r="MW22" s="1773"/>
      <c r="MX22" s="1773"/>
      <c r="MY22" s="1773"/>
      <c r="MZ22" s="1773"/>
      <c r="NA22" s="1773"/>
      <c r="NB22" s="1773"/>
      <c r="NC22" s="1773"/>
      <c r="ND22" s="1773"/>
      <c r="NE22" s="1773"/>
      <c r="NF22" s="1773"/>
      <c r="NG22" s="1773"/>
      <c r="NH22" s="1773"/>
      <c r="NI22" s="1773"/>
      <c r="NJ22" s="1773"/>
      <c r="NK22" s="1773"/>
      <c r="NL22" s="1773"/>
      <c r="NM22" s="1773"/>
      <c r="NN22" s="1773"/>
      <c r="NO22" s="1773"/>
      <c r="NP22" s="1773"/>
      <c r="NQ22" s="1773"/>
      <c r="NR22" s="1773"/>
      <c r="NS22" s="1773"/>
      <c r="NT22" s="1773"/>
      <c r="NU22" s="1773"/>
      <c r="NV22" s="1773"/>
      <c r="NW22" s="1773"/>
      <c r="NX22" s="1773"/>
      <c r="NY22" s="1773"/>
      <c r="NZ22" s="1773"/>
      <c r="OA22" s="1773"/>
      <c r="OB22" s="1773"/>
      <c r="OC22" s="1773"/>
      <c r="OD22" s="1773"/>
      <c r="OE22" s="1773"/>
      <c r="OF22" s="1773"/>
      <c r="OG22" s="1773"/>
      <c r="OH22" s="1773"/>
      <c r="OI22" s="1773"/>
      <c r="OJ22" s="1773"/>
      <c r="OK22" s="1773"/>
      <c r="OL22" s="1773"/>
      <c r="OM22" s="1773"/>
      <c r="ON22" s="1773"/>
      <c r="OO22" s="1773"/>
      <c r="OP22" s="1773"/>
      <c r="OQ22" s="1773"/>
      <c r="OR22" s="1773"/>
      <c r="OS22" s="1773"/>
      <c r="OT22" s="1773"/>
      <c r="OU22" s="1773"/>
      <c r="OV22" s="1773"/>
      <c r="OW22" s="1773"/>
      <c r="OX22" s="1773"/>
      <c r="OY22" s="1773"/>
      <c r="OZ22" s="1773"/>
      <c r="PA22" s="1773"/>
      <c r="PB22" s="1773"/>
      <c r="PC22" s="1773"/>
      <c r="PD22" s="1773"/>
      <c r="PE22" s="1773"/>
      <c r="PF22" s="1773"/>
      <c r="PG22" s="1773"/>
      <c r="PH22" s="1773"/>
      <c r="PI22" s="1773"/>
      <c r="PJ22" s="1773"/>
      <c r="PK22" s="1773"/>
      <c r="PL22" s="1773"/>
      <c r="PM22" s="1773"/>
      <c r="PN22" s="1773"/>
      <c r="PO22" s="1773"/>
      <c r="PP22" s="1773"/>
      <c r="PQ22" s="1773"/>
      <c r="PR22" s="1773"/>
      <c r="PS22" s="1773"/>
      <c r="PT22" s="1773"/>
      <c r="PU22" s="1773"/>
      <c r="PV22" s="1773"/>
      <c r="PW22" s="1773"/>
      <c r="PX22" s="1773"/>
      <c r="PY22" s="1773"/>
      <c r="PZ22" s="1773"/>
      <c r="QA22" s="1773"/>
      <c r="QB22" s="1773"/>
      <c r="QC22" s="1773"/>
      <c r="QD22" s="1773"/>
      <c r="QE22" s="1773"/>
      <c r="QF22" s="1773"/>
      <c r="QG22" s="1773"/>
      <c r="QH22" s="1773"/>
      <c r="QI22" s="1773"/>
      <c r="QJ22" s="1773"/>
      <c r="QK22" s="1773"/>
      <c r="QL22" s="1773"/>
      <c r="QM22" s="1773"/>
      <c r="QN22" s="1773"/>
      <c r="QO22" s="1773"/>
      <c r="QP22" s="1773"/>
      <c r="QQ22" s="1773"/>
      <c r="QR22" s="1773"/>
      <c r="QS22" s="1773"/>
      <c r="QT22" s="1773"/>
      <c r="QU22" s="1773"/>
      <c r="QV22" s="1773"/>
      <c r="QW22" s="1773"/>
      <c r="QX22" s="1773"/>
      <c r="QY22" s="1773"/>
      <c r="QZ22" s="1773"/>
      <c r="RA22" s="1773"/>
      <c r="RB22" s="1773"/>
      <c r="RC22" s="1773"/>
      <c r="RD22" s="1773"/>
      <c r="RE22" s="1773"/>
      <c r="RF22" s="1773"/>
      <c r="RG22" s="1773"/>
      <c r="RH22" s="1773"/>
      <c r="RI22" s="1773"/>
      <c r="RJ22" s="1773"/>
      <c r="RK22" s="1773"/>
      <c r="RL22" s="1773"/>
      <c r="RM22" s="1773"/>
      <c r="RN22" s="1773"/>
      <c r="RO22" s="1773"/>
      <c r="RP22" s="1773"/>
      <c r="RQ22" s="1773"/>
      <c r="RR22" s="1773"/>
      <c r="RS22" s="1773"/>
      <c r="RT22" s="1773"/>
      <c r="RU22" s="1773"/>
      <c r="RV22" s="1773"/>
      <c r="RW22" s="1773"/>
      <c r="RX22" s="1773"/>
      <c r="RY22" s="1773"/>
      <c r="RZ22" s="1773"/>
      <c r="SA22" s="1773"/>
      <c r="SB22" s="1773"/>
      <c r="SC22" s="1773"/>
      <c r="SD22" s="1773"/>
      <c r="SE22" s="1773"/>
      <c r="SF22" s="1773"/>
      <c r="SG22" s="1773"/>
      <c r="SH22" s="1773"/>
      <c r="SI22" s="1773"/>
      <c r="SJ22" s="1773"/>
      <c r="SK22" s="1773"/>
      <c r="SL22" s="1773"/>
      <c r="SM22" s="1773"/>
      <c r="SN22" s="1773"/>
      <c r="SO22" s="1773"/>
      <c r="SP22" s="1773"/>
      <c r="SQ22" s="1773"/>
      <c r="SR22" s="1773"/>
      <c r="SS22" s="1773"/>
      <c r="ST22" s="1773"/>
      <c r="SU22" s="1773"/>
      <c r="SV22" s="1773"/>
      <c r="SW22" s="1773"/>
      <c r="SX22" s="1773"/>
      <c r="SY22" s="1773"/>
      <c r="SZ22" s="1773"/>
      <c r="TA22" s="1773"/>
      <c r="TB22" s="1773"/>
      <c r="TC22" s="1773"/>
      <c r="TD22" s="1773"/>
      <c r="TE22" s="1773"/>
      <c r="TF22" s="1773"/>
      <c r="TG22" s="1773"/>
      <c r="TH22" s="1773"/>
      <c r="TI22" s="1773"/>
      <c r="TJ22" s="1773"/>
      <c r="TK22" s="1773"/>
      <c r="TL22" s="1773"/>
      <c r="TM22" s="1773"/>
      <c r="TN22" s="1773"/>
      <c r="TO22" s="1773"/>
      <c r="TP22" s="1773"/>
      <c r="TQ22" s="1773"/>
      <c r="TR22" s="1773"/>
      <c r="TS22" s="1773"/>
      <c r="TT22" s="1773"/>
      <c r="TU22" s="1773"/>
      <c r="TV22" s="1773"/>
      <c r="TW22" s="1773"/>
      <c r="TX22" s="1773"/>
      <c r="TY22" s="1773"/>
      <c r="TZ22" s="1773"/>
      <c r="UA22" s="1773"/>
      <c r="UB22" s="1773"/>
      <c r="UC22" s="1773"/>
      <c r="UD22" s="1773"/>
      <c r="UE22" s="1773"/>
      <c r="UF22" s="1773"/>
      <c r="UG22" s="1773"/>
      <c r="UH22" s="1773"/>
      <c r="UI22" s="1773"/>
      <c r="UJ22" s="1773"/>
      <c r="UK22" s="1773"/>
      <c r="UL22" s="1773"/>
      <c r="UM22" s="1773"/>
      <c r="UN22" s="1773"/>
      <c r="UO22" s="1773"/>
      <c r="UP22" s="1773"/>
      <c r="UQ22" s="1773"/>
      <c r="UR22" s="1773"/>
      <c r="US22" s="1773"/>
      <c r="UT22" s="1773"/>
      <c r="UU22" s="1773"/>
      <c r="UV22" s="1773"/>
      <c r="UW22" s="1773"/>
      <c r="UX22" s="1773"/>
      <c r="UY22" s="1773"/>
      <c r="UZ22" s="1773"/>
      <c r="VA22" s="1773"/>
      <c r="VB22" s="1773"/>
      <c r="VC22" s="1773"/>
      <c r="VD22" s="1773"/>
      <c r="VE22" s="1773"/>
      <c r="VF22" s="1773"/>
      <c r="VG22" s="1773"/>
      <c r="VH22" s="1773"/>
      <c r="VI22" s="1773"/>
      <c r="VJ22" s="1773"/>
      <c r="VK22" s="1773"/>
      <c r="VL22" s="1773"/>
      <c r="VM22" s="1773"/>
      <c r="VN22" s="1773"/>
      <c r="VO22" s="1773"/>
      <c r="VP22" s="1773"/>
      <c r="VQ22" s="1773"/>
      <c r="VR22" s="1773"/>
      <c r="VS22" s="1773"/>
      <c r="VT22" s="1773"/>
      <c r="VU22" s="1773"/>
      <c r="VV22" s="1773"/>
      <c r="VW22" s="1773"/>
      <c r="VX22" s="1773"/>
      <c r="VY22" s="1773"/>
      <c r="VZ22" s="1773"/>
      <c r="WA22" s="1773"/>
      <c r="WB22" s="1773"/>
      <c r="WC22" s="1773"/>
      <c r="WD22" s="1773"/>
      <c r="WE22" s="1773"/>
      <c r="WF22" s="1773"/>
      <c r="WG22" s="1773"/>
      <c r="WH22" s="1773"/>
      <c r="WI22" s="1773"/>
      <c r="WJ22" s="1773"/>
      <c r="WK22" s="1773"/>
      <c r="WL22" s="1773"/>
      <c r="WM22" s="1773"/>
      <c r="WN22" s="1773"/>
      <c r="WO22" s="1773"/>
      <c r="WP22" s="1773"/>
      <c r="WQ22" s="1773"/>
      <c r="WR22" s="1773"/>
      <c r="WS22" s="1773"/>
      <c r="WT22" s="1773"/>
      <c r="WU22" s="1773"/>
      <c r="WV22" s="1773"/>
      <c r="WW22" s="1773"/>
      <c r="WX22" s="1773"/>
      <c r="WY22" s="1773"/>
      <c r="WZ22" s="1773"/>
      <c r="XA22" s="1773"/>
      <c r="XB22" s="1773"/>
      <c r="XC22" s="1773"/>
      <c r="XD22" s="1773"/>
      <c r="XE22" s="1773"/>
      <c r="XF22" s="1773"/>
      <c r="XG22" s="1773"/>
      <c r="XH22" s="1773"/>
      <c r="XI22" s="1773"/>
      <c r="XJ22" s="1773"/>
      <c r="XK22" s="1773"/>
      <c r="XL22" s="1773"/>
      <c r="XM22" s="1773"/>
      <c r="XN22" s="1773"/>
      <c r="XO22" s="1773"/>
      <c r="XP22" s="1773"/>
      <c r="XQ22" s="1773"/>
      <c r="XR22" s="1773"/>
      <c r="XS22" s="1773"/>
      <c r="XT22" s="1773"/>
      <c r="XU22" s="1773"/>
      <c r="XV22" s="1773"/>
      <c r="XW22" s="1773"/>
      <c r="XX22" s="1773"/>
      <c r="XY22" s="1773"/>
      <c r="XZ22" s="1773"/>
      <c r="YA22" s="1773"/>
      <c r="YB22" s="1773"/>
      <c r="YC22" s="1773"/>
      <c r="YD22" s="1773"/>
      <c r="YE22" s="1773"/>
      <c r="YF22" s="1773"/>
      <c r="YG22" s="1773"/>
      <c r="YH22" s="1773"/>
      <c r="YI22" s="1773"/>
      <c r="YJ22" s="1773"/>
      <c r="YK22" s="1773"/>
      <c r="YL22" s="1773"/>
      <c r="YM22" s="1773"/>
      <c r="YN22" s="1773"/>
      <c r="YO22" s="1773"/>
      <c r="YP22" s="1773"/>
      <c r="YQ22" s="1773"/>
      <c r="YR22" s="1773"/>
      <c r="YS22" s="1773"/>
      <c r="YT22" s="1773"/>
      <c r="YU22" s="1773"/>
      <c r="YV22" s="1773"/>
      <c r="YW22" s="1773"/>
      <c r="YX22" s="1773"/>
      <c r="YY22" s="1773"/>
      <c r="YZ22" s="1773"/>
      <c r="ZA22" s="1773"/>
      <c r="ZB22" s="1773"/>
      <c r="ZC22" s="1773"/>
      <c r="ZD22" s="1773"/>
      <c r="ZE22" s="1773"/>
      <c r="ZF22" s="1773"/>
      <c r="ZG22" s="1773"/>
      <c r="ZH22" s="1773"/>
      <c r="ZI22" s="1773"/>
      <c r="ZJ22" s="1773"/>
      <c r="ZK22" s="1773"/>
      <c r="ZL22" s="1773"/>
      <c r="ZM22" s="1773"/>
      <c r="ZN22" s="1773"/>
      <c r="ZO22" s="1773"/>
      <c r="ZP22" s="1773"/>
      <c r="ZQ22" s="1773"/>
      <c r="ZR22" s="1773"/>
      <c r="ZS22" s="1773"/>
      <c r="ZT22" s="1773"/>
      <c r="ZU22" s="1773"/>
      <c r="ZV22" s="1773"/>
      <c r="ZW22" s="1773"/>
      <c r="ZX22" s="1773"/>
      <c r="ZY22" s="1773"/>
      <c r="ZZ22" s="1773"/>
      <c r="AAA22" s="1773"/>
      <c r="AAB22" s="1773"/>
      <c r="AAC22" s="1773"/>
      <c r="AAD22" s="1773"/>
      <c r="AAE22" s="1773"/>
      <c r="AAF22" s="1773"/>
      <c r="AAG22" s="1773"/>
      <c r="AAH22" s="1773"/>
      <c r="AAI22" s="1773"/>
      <c r="AAJ22" s="1773"/>
      <c r="AAK22" s="1773"/>
      <c r="AAL22" s="1773"/>
      <c r="AAM22" s="1773"/>
      <c r="AAN22" s="1773"/>
      <c r="AAO22" s="1773"/>
      <c r="AAP22" s="1773"/>
      <c r="AAQ22" s="1773"/>
      <c r="AAR22" s="1773"/>
      <c r="AAS22" s="1773"/>
      <c r="AAT22" s="1773"/>
      <c r="AAU22" s="1773"/>
      <c r="AAV22" s="1773"/>
      <c r="AAW22" s="1773"/>
      <c r="AAX22" s="1773"/>
      <c r="AAY22" s="1773"/>
      <c r="AAZ22" s="1773"/>
      <c r="ABA22" s="1773"/>
      <c r="ABB22" s="1773"/>
      <c r="ABC22" s="1773"/>
      <c r="ABD22" s="1773"/>
      <c r="ABE22" s="1773"/>
      <c r="ABF22" s="1773"/>
      <c r="ABG22" s="1773"/>
      <c r="ABH22" s="1773"/>
      <c r="ABI22" s="1773"/>
      <c r="ABJ22" s="1773"/>
      <c r="ABK22" s="1773"/>
      <c r="ABL22" s="1773"/>
      <c r="ABM22" s="1773"/>
      <c r="ABN22" s="1773"/>
      <c r="ABO22" s="1773"/>
      <c r="ABP22" s="1773"/>
      <c r="ABQ22" s="1773"/>
      <c r="ABR22" s="1773"/>
      <c r="ABS22" s="1773"/>
      <c r="ABT22" s="1773"/>
      <c r="ABU22" s="1773"/>
      <c r="ABV22" s="1773"/>
      <c r="ABW22" s="1773"/>
      <c r="ABX22" s="1773"/>
      <c r="ABY22" s="1773"/>
      <c r="ABZ22" s="1773"/>
      <c r="ACA22" s="1773"/>
      <c r="ACB22" s="1773"/>
      <c r="ACC22" s="1773"/>
      <c r="ACD22" s="1773"/>
      <c r="ACE22" s="1773"/>
      <c r="ACF22" s="1773"/>
      <c r="ACG22" s="1773"/>
      <c r="ACH22" s="1773"/>
      <c r="ACI22" s="1773"/>
      <c r="ACJ22" s="1773"/>
      <c r="ACK22" s="1773"/>
      <c r="ACL22" s="1773"/>
      <c r="ACM22" s="1773"/>
      <c r="ACN22" s="1773"/>
      <c r="ACO22" s="1773"/>
      <c r="ACP22" s="1773"/>
      <c r="ACQ22" s="1773"/>
      <c r="ACR22" s="1773"/>
      <c r="ACS22" s="1773"/>
      <c r="ACT22" s="1773"/>
      <c r="ACU22" s="1773"/>
      <c r="ACV22" s="1773"/>
      <c r="ACW22" s="1773"/>
      <c r="ACX22" s="1773"/>
      <c r="ACY22" s="1773"/>
      <c r="ACZ22" s="1773"/>
      <c r="ADA22" s="1773"/>
      <c r="ADB22" s="1773"/>
      <c r="ADC22" s="1773"/>
      <c r="ADD22" s="1773"/>
      <c r="ADE22" s="1773"/>
      <c r="ADF22" s="1773"/>
      <c r="ADG22" s="1773"/>
      <c r="ADH22" s="1773"/>
      <c r="ADI22" s="1773"/>
      <c r="ADJ22" s="1773"/>
      <c r="ADK22" s="1773"/>
      <c r="ADL22" s="1773"/>
      <c r="ADM22" s="1773"/>
      <c r="ADN22" s="1773"/>
      <c r="ADO22" s="1773"/>
      <c r="ADP22" s="1773"/>
      <c r="ADQ22" s="1773"/>
      <c r="ADR22" s="1773"/>
      <c r="ADS22" s="1773"/>
      <c r="ADT22" s="1773"/>
      <c r="ADU22" s="1773"/>
      <c r="ADV22" s="1773"/>
      <c r="ADW22" s="1773"/>
      <c r="ADX22" s="1773"/>
      <c r="ADY22" s="1773"/>
      <c r="ADZ22" s="1773"/>
      <c r="AEA22" s="1773"/>
      <c r="AEB22" s="1773"/>
      <c r="AEC22" s="1773"/>
      <c r="AED22" s="1773"/>
      <c r="AEE22" s="1773"/>
      <c r="AEF22" s="1773"/>
      <c r="AEG22" s="1773"/>
      <c r="AEH22" s="1773"/>
      <c r="AEI22" s="1773"/>
      <c r="AEJ22" s="1773"/>
      <c r="AEK22" s="1773"/>
      <c r="AEL22" s="1773"/>
      <c r="AEM22" s="1773"/>
      <c r="AEN22" s="1773"/>
      <c r="AEO22" s="1773"/>
      <c r="AEP22" s="1773"/>
      <c r="AEQ22" s="1773"/>
      <c r="AER22" s="1773"/>
      <c r="AES22" s="1773"/>
      <c r="AET22" s="1773"/>
      <c r="AEU22" s="1773"/>
      <c r="AEV22" s="1773"/>
      <c r="AEW22" s="1773"/>
      <c r="AEX22" s="1773"/>
      <c r="AEY22" s="1773"/>
      <c r="AEZ22" s="1773"/>
      <c r="AFA22" s="1773"/>
      <c r="AFB22" s="1773"/>
      <c r="AFC22" s="1773"/>
      <c r="AFD22" s="1773"/>
      <c r="AFE22" s="1773"/>
      <c r="AFF22" s="1773"/>
      <c r="AFG22" s="1773"/>
      <c r="AFH22" s="1773"/>
      <c r="AFI22" s="1773"/>
      <c r="AFJ22" s="1773"/>
      <c r="AFK22" s="1773"/>
      <c r="AFL22" s="1773"/>
      <c r="AFM22" s="1773"/>
      <c r="AFN22" s="1773"/>
      <c r="AFO22" s="1773"/>
      <c r="AFP22" s="1773"/>
      <c r="AFQ22" s="1773"/>
      <c r="AFR22" s="1773"/>
      <c r="AFS22" s="1773"/>
      <c r="AFT22" s="1773"/>
      <c r="AFU22" s="1773"/>
      <c r="AFV22" s="1773"/>
      <c r="AFW22" s="1773"/>
      <c r="AFX22" s="1773"/>
      <c r="AFY22" s="1773"/>
      <c r="AFZ22" s="1773"/>
      <c r="AGA22" s="1773"/>
      <c r="AGB22" s="1773"/>
      <c r="AGC22" s="1773"/>
      <c r="AGD22" s="1773"/>
      <c r="AGE22" s="1773"/>
      <c r="AGF22" s="1773"/>
      <c r="AGG22" s="1773"/>
      <c r="AGH22" s="1773"/>
      <c r="AGI22" s="1773"/>
      <c r="AGJ22" s="1773"/>
      <c r="AGK22" s="1773"/>
      <c r="AGL22" s="1773"/>
      <c r="AGM22" s="1773"/>
      <c r="AGN22" s="1773"/>
      <c r="AGO22" s="1773"/>
      <c r="AGP22" s="1773"/>
      <c r="AGQ22" s="1773"/>
      <c r="AGR22" s="1773"/>
      <c r="AGS22" s="1773"/>
      <c r="AGT22" s="1773"/>
      <c r="AGU22" s="1773"/>
      <c r="AGV22" s="1773"/>
      <c r="AGW22" s="1773"/>
      <c r="AGX22" s="1773"/>
      <c r="AGY22" s="1773"/>
      <c r="AGZ22" s="1773"/>
      <c r="AHA22" s="1773"/>
      <c r="AHB22" s="1773"/>
      <c r="AHC22" s="1773"/>
      <c r="AHD22" s="1773"/>
      <c r="AHE22" s="1773"/>
      <c r="AHF22" s="1773"/>
      <c r="AHG22" s="1773"/>
      <c r="AHH22" s="1773"/>
      <c r="AHI22" s="1773"/>
      <c r="AHJ22" s="1773"/>
      <c r="AHK22" s="1773"/>
      <c r="AHL22" s="1773"/>
      <c r="AHM22" s="1773"/>
      <c r="AHN22" s="1773"/>
      <c r="AHO22" s="1773"/>
      <c r="AHP22" s="1773"/>
      <c r="AHQ22" s="1773"/>
      <c r="AHR22" s="1773"/>
      <c r="AHS22" s="1773"/>
      <c r="AHT22" s="1773"/>
      <c r="AHU22" s="1773"/>
      <c r="AHV22" s="1773"/>
      <c r="AHW22" s="1773"/>
      <c r="AHX22" s="1773"/>
      <c r="AHY22" s="1773"/>
      <c r="AHZ22" s="1773"/>
      <c r="AIA22" s="1773"/>
      <c r="AIB22" s="1773"/>
      <c r="AIC22" s="1773"/>
      <c r="AID22" s="1773"/>
      <c r="AIE22" s="1773"/>
      <c r="AIF22" s="1773"/>
      <c r="AIG22" s="1773"/>
      <c r="AIH22" s="1773"/>
      <c r="AII22" s="1773"/>
      <c r="AIJ22" s="1773"/>
      <c r="AIK22" s="1773"/>
      <c r="AIL22" s="1773"/>
      <c r="AIM22" s="1773"/>
      <c r="AIN22" s="1773"/>
      <c r="AIO22" s="1773"/>
      <c r="AIP22" s="1773"/>
      <c r="AIQ22" s="1773"/>
      <c r="AIR22" s="1773"/>
      <c r="AIS22" s="1773"/>
      <c r="AIT22" s="1773"/>
      <c r="AIU22" s="1773"/>
      <c r="AIV22" s="1773"/>
      <c r="AIW22" s="1773"/>
      <c r="AIX22" s="1773"/>
      <c r="AIY22" s="1773"/>
      <c r="AIZ22" s="1773"/>
      <c r="AJA22" s="1773"/>
      <c r="AJB22" s="1773"/>
      <c r="AJC22" s="1773"/>
      <c r="AJD22" s="1773"/>
      <c r="AJE22" s="1773"/>
      <c r="AJF22" s="1773"/>
      <c r="AJG22" s="1773"/>
      <c r="AJH22" s="1773"/>
      <c r="AJI22" s="1773"/>
      <c r="AJJ22" s="1773"/>
      <c r="AJK22" s="1773"/>
      <c r="AJL22" s="1773"/>
      <c r="AJM22" s="1773"/>
      <c r="AJN22" s="1773"/>
      <c r="AJO22" s="1773"/>
      <c r="AJP22" s="1773"/>
      <c r="AJQ22" s="1773"/>
      <c r="AJR22" s="1773"/>
      <c r="AJS22" s="1773"/>
      <c r="AJT22" s="1773"/>
      <c r="AJU22" s="1773"/>
      <c r="AJV22" s="1773"/>
      <c r="AJW22" s="1773"/>
      <c r="AJX22" s="1773"/>
      <c r="AJY22" s="1773"/>
      <c r="AJZ22" s="1773"/>
      <c r="AKA22" s="1773"/>
      <c r="AKB22" s="1773"/>
      <c r="AKC22" s="1773"/>
      <c r="AKD22" s="1773"/>
      <c r="AKE22" s="1773"/>
      <c r="AKF22" s="1773"/>
      <c r="AKG22" s="1773"/>
      <c r="AKH22" s="1773"/>
      <c r="AKI22" s="1773"/>
      <c r="AKJ22" s="1773"/>
      <c r="AKK22" s="1773"/>
      <c r="AKL22" s="1773"/>
      <c r="AKM22" s="1773"/>
      <c r="AKN22" s="1773"/>
      <c r="AKO22" s="1773"/>
      <c r="AKP22" s="1773"/>
      <c r="AKQ22" s="1773"/>
      <c r="AKR22" s="1773"/>
      <c r="AKS22" s="1773"/>
      <c r="AKT22" s="1773"/>
      <c r="AKU22" s="1773"/>
      <c r="AKV22" s="1773"/>
      <c r="AKW22" s="1773"/>
      <c r="AKX22" s="1773"/>
      <c r="AKY22" s="1773"/>
      <c r="AKZ22" s="1773"/>
      <c r="ALA22" s="1773"/>
      <c r="ALB22" s="1773"/>
      <c r="ALC22" s="1773"/>
      <c r="ALD22" s="1773"/>
      <c r="ALE22" s="1773"/>
      <c r="ALF22" s="1773"/>
      <c r="ALG22" s="1773"/>
      <c r="ALH22" s="1773"/>
      <c r="ALI22" s="1773"/>
      <c r="ALJ22" s="1773"/>
      <c r="ALK22" s="1773"/>
      <c r="ALL22" s="1773"/>
      <c r="ALM22" s="1773"/>
      <c r="ALN22" s="1773"/>
      <c r="ALO22" s="1773"/>
      <c r="ALP22" s="1773"/>
      <c r="ALQ22" s="1773"/>
      <c r="ALR22" s="1773"/>
      <c r="ALS22" s="1773"/>
      <c r="ALT22" s="1773"/>
      <c r="ALU22" s="1773"/>
      <c r="ALV22" s="1773"/>
      <c r="ALW22" s="1773"/>
      <c r="ALX22" s="1773"/>
      <c r="ALY22" s="1773"/>
      <c r="ALZ22" s="1773"/>
      <c r="AMA22" s="1773"/>
      <c r="AMB22" s="1773"/>
      <c r="AMC22" s="1773"/>
      <c r="AMD22" s="1773"/>
      <c r="AME22" s="1773"/>
      <c r="AMF22" s="1773"/>
      <c r="AMG22" s="1773"/>
      <c r="AMH22" s="1773"/>
      <c r="AMI22" s="1773"/>
      <c r="AMJ22" s="1773"/>
      <c r="AMK22" s="1773"/>
      <c r="AML22" s="1773"/>
      <c r="AMM22" s="1773"/>
      <c r="AMN22" s="1773"/>
      <c r="AMO22" s="1773"/>
      <c r="AMP22" s="1773"/>
      <c r="AMQ22" s="1773"/>
      <c r="AMR22" s="1773"/>
      <c r="AMS22" s="1773"/>
      <c r="AMT22" s="1773"/>
      <c r="AMU22" s="1773"/>
      <c r="AMV22" s="1773"/>
      <c r="AMW22" s="1773"/>
      <c r="AMX22" s="1773"/>
      <c r="AMY22" s="1773"/>
      <c r="AMZ22" s="1773"/>
      <c r="ANA22" s="1773"/>
      <c r="ANB22" s="1773"/>
      <c r="ANC22" s="1773"/>
      <c r="AND22" s="1773"/>
      <c r="ANE22" s="1773"/>
      <c r="ANF22" s="1773"/>
      <c r="ANG22" s="1773"/>
      <c r="ANH22" s="1773"/>
      <c r="ANI22" s="1773"/>
      <c r="ANJ22" s="1773"/>
      <c r="ANK22" s="1773"/>
      <c r="ANL22" s="1773"/>
      <c r="ANM22" s="1773"/>
      <c r="ANN22" s="1773"/>
      <c r="ANO22" s="1773"/>
      <c r="ANP22" s="1773"/>
      <c r="ANQ22" s="1773"/>
      <c r="ANR22" s="1773"/>
      <c r="ANS22" s="1773"/>
      <c r="ANT22" s="1773"/>
      <c r="ANU22" s="1773"/>
      <c r="ANV22" s="1773"/>
      <c r="ANW22" s="1773"/>
      <c r="ANX22" s="1773"/>
      <c r="ANY22" s="1773"/>
      <c r="ANZ22" s="1773"/>
      <c r="AOA22" s="1773"/>
      <c r="AOB22" s="1773"/>
      <c r="AOC22" s="1773"/>
      <c r="AOD22" s="1773"/>
      <c r="AOE22" s="1773"/>
      <c r="AOF22" s="1773"/>
      <c r="AOG22" s="1773"/>
      <c r="AOH22" s="1773"/>
      <c r="AOI22" s="1773"/>
      <c r="AOJ22" s="1773"/>
      <c r="AOK22" s="1773"/>
      <c r="AOL22" s="1773"/>
      <c r="AOM22" s="1773"/>
      <c r="AON22" s="1773"/>
      <c r="AOO22" s="1773"/>
      <c r="AOP22" s="1773"/>
      <c r="AOQ22" s="1773"/>
      <c r="AOR22" s="1773"/>
      <c r="AOS22" s="1773"/>
      <c r="AOT22" s="1773"/>
      <c r="AOU22" s="1773"/>
      <c r="AOV22" s="1773"/>
      <c r="AOW22" s="1773"/>
      <c r="AOX22" s="1773"/>
      <c r="AOY22" s="1773"/>
      <c r="AOZ22" s="1773"/>
      <c r="APA22" s="1773"/>
      <c r="APB22" s="1773"/>
      <c r="APC22" s="1773"/>
      <c r="APD22" s="1773"/>
      <c r="APE22" s="1773"/>
      <c r="APF22" s="1773"/>
      <c r="APG22" s="1773"/>
      <c r="APH22" s="1773"/>
      <c r="API22" s="1773"/>
      <c r="APJ22" s="1773"/>
      <c r="APK22" s="1773"/>
      <c r="APL22" s="1773"/>
      <c r="APM22" s="1773"/>
      <c r="APN22" s="1773"/>
      <c r="APO22" s="1773"/>
      <c r="APP22" s="1773"/>
      <c r="APQ22" s="1773"/>
      <c r="APR22" s="1773"/>
      <c r="APS22" s="1773"/>
      <c r="APT22" s="1773"/>
      <c r="APU22" s="1773"/>
      <c r="APV22" s="1773"/>
      <c r="APW22" s="1773"/>
      <c r="APX22" s="1773"/>
      <c r="APY22" s="1773"/>
      <c r="APZ22" s="1773"/>
      <c r="AQA22" s="1773"/>
      <c r="AQB22" s="1773"/>
      <c r="AQC22" s="1773"/>
      <c r="AQD22" s="1773"/>
      <c r="AQE22" s="1773"/>
      <c r="AQF22" s="1773"/>
      <c r="AQG22" s="1773"/>
      <c r="AQH22" s="1773"/>
      <c r="AQI22" s="1773"/>
      <c r="AQJ22" s="1773"/>
      <c r="AQK22" s="1773"/>
      <c r="AQL22" s="1773"/>
      <c r="AQM22" s="1773"/>
      <c r="AQN22" s="1773"/>
      <c r="AQO22" s="1773"/>
      <c r="AQP22" s="1773"/>
      <c r="AQQ22" s="1773"/>
      <c r="AQR22" s="1773"/>
      <c r="AQS22" s="1773"/>
      <c r="AQT22" s="1773"/>
      <c r="AQU22" s="1773"/>
      <c r="AQV22" s="1773"/>
      <c r="AQW22" s="1773"/>
      <c r="AQX22" s="1773"/>
      <c r="AQY22" s="1773"/>
      <c r="AQZ22" s="1773"/>
      <c r="ARA22" s="1773"/>
      <c r="ARB22" s="1773"/>
      <c r="ARC22" s="1773"/>
      <c r="ARD22" s="1773"/>
      <c r="ARE22" s="1773"/>
      <c r="ARF22" s="1773"/>
      <c r="ARG22" s="1773"/>
      <c r="ARH22" s="1773"/>
      <c r="ARI22" s="1773"/>
      <c r="ARJ22" s="1773"/>
      <c r="ARK22" s="1773"/>
      <c r="ARL22" s="1773"/>
      <c r="ARM22" s="1773"/>
      <c r="ARN22" s="1773"/>
      <c r="ARO22" s="1773"/>
      <c r="ARP22" s="1773"/>
      <c r="ARQ22" s="1773"/>
      <c r="ARR22" s="1773"/>
      <c r="ARS22" s="1773"/>
      <c r="ART22" s="1773"/>
      <c r="ARU22" s="1773"/>
      <c r="ARV22" s="1773"/>
      <c r="ARW22" s="1773"/>
      <c r="ARX22" s="1773"/>
      <c r="ARY22" s="1773"/>
      <c r="ARZ22" s="1773"/>
      <c r="ASA22" s="1773"/>
      <c r="ASB22" s="1773"/>
      <c r="ASC22" s="1773"/>
      <c r="ASD22" s="1773"/>
      <c r="ASE22" s="1773"/>
      <c r="ASF22" s="1773"/>
      <c r="ASG22" s="1773"/>
      <c r="ASH22" s="1773"/>
      <c r="ASI22" s="1773"/>
      <c r="ASJ22" s="1773"/>
      <c r="ASK22" s="1773"/>
      <c r="ASL22" s="1773"/>
      <c r="ASM22" s="1773"/>
      <c r="ASN22" s="1773"/>
      <c r="ASO22" s="1773"/>
      <c r="ASP22" s="1773"/>
      <c r="ASQ22" s="1773"/>
      <c r="ASR22" s="1773"/>
      <c r="ASS22" s="1773"/>
      <c r="AST22" s="1773"/>
      <c r="ASU22" s="1773"/>
      <c r="ASV22" s="1773"/>
      <c r="ASW22" s="1773"/>
      <c r="ASX22" s="1773"/>
      <c r="ASY22" s="1773"/>
      <c r="ASZ22" s="1773"/>
      <c r="ATA22" s="1773"/>
      <c r="ATB22" s="1773"/>
      <c r="ATC22" s="1773"/>
      <c r="ATD22" s="1773"/>
      <c r="ATE22" s="1773"/>
      <c r="ATF22" s="1773"/>
      <c r="ATG22" s="1773"/>
      <c r="ATH22" s="1773"/>
      <c r="ATI22" s="1773"/>
      <c r="ATJ22" s="1773"/>
      <c r="ATK22" s="1773"/>
      <c r="ATL22" s="1773"/>
      <c r="ATM22" s="1773"/>
      <c r="ATN22" s="1773"/>
      <c r="ATO22" s="1773"/>
      <c r="ATP22" s="1773"/>
      <c r="ATQ22" s="1773"/>
      <c r="ATR22" s="1773"/>
      <c r="ATS22" s="1773"/>
      <c r="ATT22" s="1773"/>
      <c r="ATU22" s="1773"/>
      <c r="ATV22" s="1773"/>
      <c r="ATW22" s="1773"/>
      <c r="ATX22" s="1773"/>
      <c r="ATY22" s="1773"/>
      <c r="ATZ22" s="1773"/>
      <c r="AUA22" s="1773"/>
      <c r="AUB22" s="1773"/>
      <c r="AUC22" s="1773"/>
      <c r="AUD22" s="1773"/>
      <c r="AUE22" s="1773"/>
      <c r="AUF22" s="1773"/>
      <c r="AUG22" s="1773"/>
      <c r="AUH22" s="1773"/>
      <c r="AUI22" s="1773"/>
      <c r="AUJ22" s="1773"/>
      <c r="AUK22" s="1773"/>
      <c r="AUL22" s="1773"/>
      <c r="AUM22" s="1773"/>
      <c r="AUN22" s="1773"/>
      <c r="AUO22" s="1773"/>
      <c r="AUP22" s="1773"/>
      <c r="AUQ22" s="1773"/>
      <c r="AUR22" s="1773"/>
      <c r="AUS22" s="1773"/>
      <c r="AUT22" s="1773"/>
      <c r="AUU22" s="1773"/>
      <c r="AUV22" s="1773"/>
      <c r="AUW22" s="1773"/>
      <c r="AUX22" s="1773"/>
      <c r="AUY22" s="1773"/>
      <c r="AUZ22" s="1773"/>
      <c r="AVA22" s="1773"/>
      <c r="AVB22" s="1773"/>
      <c r="AVC22" s="1773"/>
      <c r="AVD22" s="1773"/>
      <c r="AVE22" s="1773"/>
      <c r="AVF22" s="1773"/>
      <c r="AVG22" s="1773"/>
      <c r="AVH22" s="1773"/>
      <c r="AVI22" s="1773"/>
      <c r="AVJ22" s="1773"/>
      <c r="AVK22" s="1773"/>
      <c r="AVL22" s="1773"/>
      <c r="AVM22" s="1773"/>
      <c r="AVN22" s="1773"/>
      <c r="AVO22" s="1773"/>
      <c r="AVP22" s="1773"/>
      <c r="AVQ22" s="1773"/>
      <c r="AVR22" s="1773"/>
      <c r="AVS22" s="1773"/>
      <c r="AVT22" s="1773"/>
      <c r="AVU22" s="1773"/>
      <c r="AVV22" s="1773"/>
      <c r="AVW22" s="1773"/>
      <c r="AVX22" s="1773"/>
      <c r="AVY22" s="1773"/>
      <c r="AVZ22" s="1773"/>
      <c r="AWA22" s="1773"/>
      <c r="AWB22" s="1773"/>
      <c r="AWC22" s="1773"/>
      <c r="AWD22" s="1773"/>
      <c r="AWE22" s="1773"/>
      <c r="AWF22" s="1773"/>
      <c r="AWG22" s="1773"/>
      <c r="AWH22" s="1773"/>
      <c r="AWI22" s="1773"/>
      <c r="AWJ22" s="1773"/>
      <c r="AWK22" s="1773"/>
      <c r="AWL22" s="1773"/>
      <c r="AWM22" s="1773"/>
      <c r="AWN22" s="1773"/>
      <c r="AWO22" s="1773"/>
      <c r="AWP22" s="1773"/>
      <c r="AWQ22" s="1773"/>
      <c r="AWR22" s="1773"/>
      <c r="AWS22" s="1773"/>
      <c r="AWT22" s="1773"/>
      <c r="AWU22" s="1773"/>
      <c r="AWV22" s="1773"/>
      <c r="AWW22" s="1773"/>
      <c r="AWX22" s="1773"/>
      <c r="AWY22" s="1773"/>
      <c r="AWZ22" s="1773"/>
      <c r="AXA22" s="1773"/>
      <c r="AXB22" s="1773"/>
      <c r="AXC22" s="1773"/>
      <c r="AXD22" s="1773"/>
      <c r="AXE22" s="1773"/>
      <c r="AXF22" s="1773"/>
      <c r="AXG22" s="1773"/>
      <c r="AXH22" s="1773"/>
      <c r="AXI22" s="1773"/>
      <c r="AXJ22" s="1773"/>
      <c r="AXK22" s="1773"/>
      <c r="AXL22" s="1773"/>
      <c r="AXM22" s="1773"/>
      <c r="AXN22" s="1773"/>
      <c r="AXO22" s="1773"/>
      <c r="AXP22" s="1773"/>
      <c r="AXQ22" s="1773"/>
      <c r="AXR22" s="1773"/>
      <c r="AXS22" s="1773"/>
      <c r="AXT22" s="1773"/>
      <c r="AXU22" s="1773"/>
      <c r="AXV22" s="1773"/>
      <c r="AXW22" s="1773"/>
      <c r="AXX22" s="1773"/>
      <c r="AXY22" s="1773"/>
      <c r="AXZ22" s="1773"/>
      <c r="AYA22" s="1773"/>
      <c r="AYB22" s="1773"/>
      <c r="AYC22" s="1773"/>
      <c r="AYD22" s="1773"/>
      <c r="AYE22" s="1773"/>
      <c r="AYF22" s="1773"/>
      <c r="AYG22" s="1773"/>
      <c r="AYH22" s="1773"/>
      <c r="AYI22" s="1773"/>
      <c r="AYJ22" s="1773"/>
      <c r="AYK22" s="1773"/>
      <c r="AYL22" s="1773"/>
      <c r="AYM22" s="1773"/>
      <c r="AYN22" s="1773"/>
      <c r="AYO22" s="1773"/>
      <c r="AYP22" s="1773"/>
      <c r="AYQ22" s="1773"/>
      <c r="AYR22" s="1773"/>
      <c r="AYS22" s="1773"/>
      <c r="AYT22" s="1773"/>
      <c r="AYU22" s="1773"/>
      <c r="AYV22" s="1773"/>
      <c r="AYW22" s="1773"/>
      <c r="AYX22" s="1773"/>
      <c r="AYY22" s="1773"/>
      <c r="AYZ22" s="1773"/>
      <c r="AZA22" s="1773"/>
      <c r="AZB22" s="1773"/>
      <c r="AZC22" s="1773"/>
      <c r="AZD22" s="1773"/>
      <c r="AZE22" s="1773"/>
      <c r="AZF22" s="1773"/>
      <c r="AZG22" s="1773"/>
      <c r="AZH22" s="1773"/>
      <c r="AZI22" s="1773"/>
      <c r="AZJ22" s="1773"/>
      <c r="AZK22" s="1773"/>
      <c r="AZL22" s="1773"/>
      <c r="AZM22" s="1773"/>
      <c r="AZN22" s="1773"/>
      <c r="AZO22" s="1773"/>
      <c r="AZP22" s="1773"/>
      <c r="AZQ22" s="1773"/>
      <c r="AZR22" s="1773"/>
      <c r="AZS22" s="1773"/>
      <c r="AZT22" s="1773"/>
      <c r="AZU22" s="1773"/>
      <c r="AZV22" s="1773"/>
      <c r="AZW22" s="1773"/>
      <c r="AZX22" s="1773"/>
      <c r="AZY22" s="1773"/>
      <c r="AZZ22" s="1773"/>
      <c r="BAA22" s="1773"/>
      <c r="BAB22" s="1773"/>
      <c r="BAC22" s="1773"/>
      <c r="BAD22" s="1773"/>
      <c r="BAE22" s="1773"/>
      <c r="BAF22" s="1773"/>
      <c r="BAG22" s="1773"/>
      <c r="BAH22" s="1773"/>
      <c r="BAI22" s="1773"/>
      <c r="BAJ22" s="1773"/>
      <c r="BAK22" s="1773"/>
      <c r="BAL22" s="1773"/>
      <c r="BAM22" s="1773"/>
      <c r="BAN22" s="1773"/>
      <c r="BAO22" s="1773"/>
      <c r="BAP22" s="1773"/>
      <c r="BAQ22" s="1773"/>
      <c r="BAR22" s="1773"/>
      <c r="BAS22" s="1773"/>
      <c r="BAT22" s="1773"/>
      <c r="BAU22" s="1773"/>
      <c r="BAV22" s="1773"/>
      <c r="BAW22" s="1773"/>
      <c r="BAX22" s="1773"/>
      <c r="BAY22" s="1773"/>
      <c r="BAZ22" s="1773"/>
      <c r="BBA22" s="1773"/>
      <c r="BBB22" s="1773"/>
      <c r="BBC22" s="1773"/>
      <c r="BBD22" s="1773"/>
      <c r="BBE22" s="1773"/>
      <c r="BBF22" s="1773"/>
      <c r="BBG22" s="1773"/>
      <c r="BBH22" s="1773"/>
      <c r="BBI22" s="1773"/>
      <c r="BBJ22" s="1773"/>
      <c r="BBK22" s="1773"/>
      <c r="BBL22" s="1773"/>
      <c r="BBM22" s="1773"/>
      <c r="BBN22" s="1773"/>
      <c r="BBO22" s="1773"/>
      <c r="BBP22" s="1773"/>
      <c r="BBQ22" s="1773"/>
      <c r="BBR22" s="1773"/>
      <c r="BBS22" s="1773"/>
      <c r="BBT22" s="1773"/>
      <c r="BBU22" s="1773"/>
      <c r="BBV22" s="1773"/>
      <c r="BBW22" s="1773"/>
      <c r="BBX22" s="1773"/>
      <c r="BBY22" s="1773"/>
      <c r="BBZ22" s="1773"/>
      <c r="BCA22" s="1773"/>
      <c r="BCB22" s="1773"/>
      <c r="BCC22" s="1773"/>
      <c r="BCD22" s="1773"/>
      <c r="BCE22" s="1773"/>
      <c r="BCF22" s="1773"/>
      <c r="BCG22" s="1773"/>
      <c r="BCH22" s="1773"/>
      <c r="BCI22" s="1773"/>
      <c r="BCJ22" s="1773"/>
      <c r="BCK22" s="1773"/>
      <c r="BCL22" s="1773"/>
      <c r="BCM22" s="1773"/>
      <c r="BCN22" s="1773"/>
      <c r="BCO22" s="1773"/>
      <c r="BCP22" s="1773"/>
      <c r="BCQ22" s="1773"/>
      <c r="BCR22" s="1773"/>
      <c r="BCS22" s="1773"/>
      <c r="BCT22" s="1773"/>
      <c r="BCU22" s="1773"/>
      <c r="BCV22" s="1773"/>
      <c r="BCW22" s="1773"/>
      <c r="BCX22" s="1773"/>
      <c r="BCY22" s="1773"/>
      <c r="BCZ22" s="1773"/>
      <c r="BDA22" s="1773"/>
      <c r="BDB22" s="1773"/>
      <c r="BDC22" s="1773"/>
      <c r="BDD22" s="1773"/>
      <c r="BDE22" s="1773"/>
      <c r="BDF22" s="1773"/>
      <c r="BDG22" s="1773"/>
      <c r="BDH22" s="1773"/>
      <c r="BDI22" s="1773"/>
      <c r="BDJ22" s="1773"/>
      <c r="BDK22" s="1773"/>
      <c r="BDL22" s="1773"/>
      <c r="BDM22" s="1773"/>
      <c r="BDN22" s="1773"/>
      <c r="BDO22" s="1773"/>
      <c r="BDP22" s="1773"/>
      <c r="BDQ22" s="1773"/>
      <c r="BDR22" s="1773"/>
      <c r="BDS22" s="1773"/>
      <c r="BDT22" s="1773"/>
      <c r="BDU22" s="1773"/>
      <c r="BDV22" s="1773"/>
      <c r="BDW22" s="1773"/>
      <c r="BDX22" s="1773"/>
      <c r="BDY22" s="1773"/>
      <c r="BDZ22" s="1773"/>
      <c r="BEA22" s="1773"/>
      <c r="BEB22" s="1773"/>
      <c r="BEC22" s="1773"/>
      <c r="BED22" s="1773"/>
      <c r="BEE22" s="1773"/>
      <c r="BEF22" s="1773"/>
      <c r="BEG22" s="1773"/>
      <c r="BEH22" s="1773"/>
      <c r="BEI22" s="1773"/>
      <c r="BEJ22" s="1773"/>
      <c r="BEK22" s="1773"/>
      <c r="BEL22" s="1773"/>
      <c r="BEM22" s="1773"/>
      <c r="BEN22" s="1773"/>
      <c r="BEO22" s="1773"/>
      <c r="BEP22" s="1773"/>
      <c r="BEQ22" s="1773"/>
      <c r="BER22" s="1773"/>
      <c r="BES22" s="1773"/>
      <c r="BET22" s="1773"/>
      <c r="BEU22" s="1773"/>
      <c r="BEV22" s="1773"/>
      <c r="BEW22" s="1773"/>
      <c r="BEX22" s="1773"/>
      <c r="BEY22" s="1773"/>
      <c r="BEZ22" s="1773"/>
      <c r="BFA22" s="1773"/>
      <c r="BFB22" s="1773"/>
      <c r="BFC22" s="1773"/>
      <c r="BFD22" s="1773"/>
      <c r="BFE22" s="1773"/>
      <c r="BFF22" s="1773"/>
      <c r="BFG22" s="1773"/>
      <c r="BFH22" s="1773"/>
      <c r="BFI22" s="1773"/>
      <c r="BFJ22" s="1773"/>
      <c r="BFK22" s="1773"/>
      <c r="BFL22" s="1773"/>
      <c r="BFM22" s="1773"/>
      <c r="BFN22" s="1773"/>
      <c r="BFO22" s="1773"/>
      <c r="BFP22" s="1773"/>
      <c r="BFQ22" s="1773"/>
      <c r="BFR22" s="1773"/>
      <c r="BFS22" s="1773"/>
      <c r="BFT22" s="1773"/>
      <c r="BFU22" s="1773"/>
      <c r="BFV22" s="1773"/>
      <c r="BFW22" s="1773"/>
      <c r="BFX22" s="1773"/>
      <c r="BFY22" s="1773"/>
      <c r="BFZ22" s="1773"/>
      <c r="BGA22" s="1773"/>
      <c r="BGB22" s="1773"/>
      <c r="BGC22" s="1773"/>
      <c r="BGD22" s="1773"/>
      <c r="BGE22" s="1773"/>
      <c r="BGF22" s="1773"/>
      <c r="BGG22" s="1773"/>
      <c r="BGH22" s="1773"/>
      <c r="BGI22" s="1773"/>
      <c r="BGJ22" s="1773"/>
      <c r="BGK22" s="1773"/>
      <c r="BGL22" s="1773"/>
      <c r="BGM22" s="1773"/>
      <c r="BGN22" s="1773"/>
      <c r="BGO22" s="1773"/>
      <c r="BGP22" s="1773"/>
      <c r="BGQ22" s="1773"/>
      <c r="BGR22" s="1773"/>
      <c r="BGS22" s="1773"/>
      <c r="BGT22" s="1773"/>
      <c r="BGU22" s="1773"/>
      <c r="BGV22" s="1773"/>
      <c r="BGW22" s="1773"/>
      <c r="BGX22" s="1773"/>
      <c r="BGY22" s="1773"/>
      <c r="BGZ22" s="1773"/>
      <c r="BHA22" s="1773"/>
      <c r="BHB22" s="1773"/>
      <c r="BHC22" s="1773"/>
      <c r="BHD22" s="1773"/>
      <c r="BHE22" s="1773"/>
      <c r="BHF22" s="1773"/>
      <c r="BHG22" s="1773"/>
      <c r="BHH22" s="1773"/>
      <c r="BHI22" s="1773"/>
      <c r="BHJ22" s="1773"/>
      <c r="BHK22" s="1773"/>
      <c r="BHL22" s="1773"/>
      <c r="BHM22" s="1773"/>
      <c r="BHN22" s="1773"/>
      <c r="BHO22" s="1773"/>
      <c r="BHP22" s="1773"/>
      <c r="BHQ22" s="1773"/>
      <c r="BHR22" s="1773"/>
      <c r="BHS22" s="1773"/>
      <c r="BHT22" s="1773"/>
      <c r="BHU22" s="1773"/>
      <c r="BHV22" s="1773"/>
      <c r="BHW22" s="1773"/>
      <c r="BHX22" s="1773"/>
      <c r="BHY22" s="1773"/>
      <c r="BHZ22" s="1773"/>
      <c r="BIA22" s="1773"/>
      <c r="BIB22" s="1773"/>
      <c r="BIC22" s="1773"/>
      <c r="BID22" s="1773"/>
      <c r="BIE22" s="1773"/>
      <c r="BIF22" s="1773"/>
      <c r="BIG22" s="1773"/>
      <c r="BIH22" s="1773"/>
      <c r="BII22" s="1773"/>
      <c r="BIJ22" s="1773"/>
      <c r="BIK22" s="1773"/>
      <c r="BIL22" s="1773"/>
      <c r="BIM22" s="1773"/>
      <c r="BIN22" s="1773"/>
      <c r="BIO22" s="1773"/>
      <c r="BIP22" s="1773"/>
      <c r="BIQ22" s="1773"/>
      <c r="BIR22" s="1773"/>
      <c r="BIS22" s="1773"/>
      <c r="BIT22" s="1773"/>
      <c r="BIU22" s="1773"/>
      <c r="BIV22" s="1773"/>
      <c r="BIW22" s="1773"/>
      <c r="BIX22" s="1773"/>
      <c r="BIY22" s="1773"/>
      <c r="BIZ22" s="1773"/>
      <c r="BJA22" s="1773"/>
      <c r="BJB22" s="1773"/>
      <c r="BJC22" s="1773"/>
      <c r="BJD22" s="1773"/>
      <c r="BJE22" s="1773"/>
      <c r="BJF22" s="1773"/>
      <c r="BJG22" s="1773"/>
      <c r="BJH22" s="1773"/>
      <c r="BJI22" s="1773"/>
      <c r="BJJ22" s="1773"/>
      <c r="BJK22" s="1773"/>
      <c r="BJL22" s="1773"/>
      <c r="BJM22" s="1773"/>
      <c r="BJN22" s="1773"/>
      <c r="BJO22" s="1773"/>
      <c r="BJP22" s="1773"/>
      <c r="BJQ22" s="1773"/>
      <c r="BJR22" s="1773"/>
      <c r="BJS22" s="1773"/>
      <c r="BJT22" s="1773"/>
      <c r="BJU22" s="1773"/>
      <c r="BJV22" s="1773"/>
      <c r="BJW22" s="1773"/>
      <c r="BJX22" s="1773"/>
      <c r="BJY22" s="1773"/>
      <c r="BJZ22" s="1773"/>
      <c r="BKA22" s="1773"/>
      <c r="BKB22" s="1773"/>
      <c r="BKC22" s="1773"/>
      <c r="BKD22" s="1773"/>
      <c r="BKE22" s="1773"/>
      <c r="BKF22" s="1773"/>
      <c r="BKG22" s="1773"/>
      <c r="BKH22" s="1773"/>
      <c r="BKI22" s="1773"/>
      <c r="BKJ22" s="1773"/>
      <c r="BKK22" s="1773"/>
      <c r="BKL22" s="1773"/>
      <c r="BKM22" s="1773"/>
      <c r="BKN22" s="1773"/>
      <c r="BKO22" s="1773"/>
      <c r="BKP22" s="1773"/>
      <c r="BKQ22" s="1773"/>
      <c r="BKR22" s="1773"/>
      <c r="BKS22" s="1773"/>
      <c r="BKT22" s="1773"/>
      <c r="BKU22" s="1773"/>
      <c r="BKV22" s="1773"/>
      <c r="BKW22" s="1773"/>
      <c r="BKX22" s="1773"/>
      <c r="BKY22" s="1773"/>
      <c r="BKZ22" s="1773"/>
      <c r="BLA22" s="1773"/>
      <c r="BLB22" s="1773"/>
      <c r="BLC22" s="1773"/>
      <c r="BLD22" s="1773"/>
      <c r="BLE22" s="1773"/>
      <c r="BLF22" s="1773"/>
      <c r="BLG22" s="1773"/>
      <c r="BLH22" s="1773"/>
      <c r="BLI22" s="1773"/>
      <c r="BLJ22" s="1773"/>
      <c r="BLK22" s="1773"/>
      <c r="BLL22" s="1773"/>
      <c r="BLM22" s="1773"/>
      <c r="BLN22" s="1773"/>
      <c r="BLO22" s="1773"/>
      <c r="BLP22" s="1773"/>
      <c r="BLQ22" s="1773"/>
      <c r="BLR22" s="1773"/>
      <c r="BLS22" s="1773"/>
      <c r="BLT22" s="1773"/>
      <c r="BLU22" s="1773"/>
      <c r="BLV22" s="1773"/>
      <c r="BLW22" s="1773"/>
      <c r="BLX22" s="1773"/>
      <c r="BLY22" s="1773"/>
      <c r="BLZ22" s="1773"/>
      <c r="BMA22" s="1773"/>
      <c r="BMB22" s="1773"/>
      <c r="BMC22" s="1773"/>
      <c r="BMD22" s="1773"/>
      <c r="BME22" s="1773"/>
      <c r="BMF22" s="1773"/>
      <c r="BMG22" s="1773"/>
      <c r="BMH22" s="1773"/>
      <c r="BMI22" s="1773"/>
      <c r="BMJ22" s="1773"/>
      <c r="BMK22" s="1773"/>
      <c r="BML22" s="1773"/>
      <c r="BMM22" s="1773"/>
      <c r="BMN22" s="1773"/>
      <c r="BMO22" s="1773"/>
      <c r="BMP22" s="1773"/>
      <c r="BMQ22" s="1773"/>
      <c r="BMR22" s="1773"/>
      <c r="BMS22" s="1773"/>
      <c r="BMT22" s="1773"/>
      <c r="BMU22" s="1773"/>
      <c r="BMV22" s="1773"/>
      <c r="BMW22" s="1773"/>
      <c r="BMX22" s="1773"/>
      <c r="BMY22" s="1773"/>
      <c r="BMZ22" s="1773"/>
      <c r="BNA22" s="1773"/>
      <c r="BNB22" s="1773"/>
      <c r="BNC22" s="1773"/>
      <c r="BND22" s="1773"/>
      <c r="BNE22" s="1773"/>
      <c r="BNF22" s="1773"/>
      <c r="BNG22" s="1773"/>
      <c r="BNH22" s="1773"/>
      <c r="BNI22" s="1773"/>
      <c r="BNJ22" s="1773"/>
      <c r="BNK22" s="1773"/>
      <c r="BNL22" s="1773"/>
      <c r="BNM22" s="1773"/>
      <c r="BNN22" s="1773"/>
      <c r="BNO22" s="1773"/>
      <c r="BNP22" s="1773"/>
      <c r="BNQ22" s="1773"/>
      <c r="BNR22" s="1773"/>
      <c r="BNS22" s="1773"/>
      <c r="BNT22" s="1773"/>
      <c r="BNU22" s="1773"/>
      <c r="BNV22" s="1773"/>
      <c r="BNW22" s="1773"/>
      <c r="BNX22" s="1773"/>
      <c r="BNY22" s="1773"/>
      <c r="BNZ22" s="1773"/>
      <c r="BOA22" s="1773"/>
      <c r="BOB22" s="1773"/>
      <c r="BOC22" s="1773"/>
      <c r="BOD22" s="1773"/>
      <c r="BOE22" s="1773"/>
      <c r="BOF22" s="1773"/>
      <c r="BOG22" s="1773"/>
      <c r="BOH22" s="1773"/>
      <c r="BOI22" s="1773"/>
      <c r="BOJ22" s="1773"/>
      <c r="BOK22" s="1773"/>
      <c r="BOL22" s="1773"/>
      <c r="BOM22" s="1773"/>
      <c r="BON22" s="1773"/>
      <c r="BOO22" s="1773"/>
      <c r="BOP22" s="1773"/>
      <c r="BOQ22" s="1773"/>
      <c r="BOR22" s="1773"/>
      <c r="BOS22" s="1773"/>
      <c r="BOT22" s="1773"/>
      <c r="BOU22" s="1773"/>
      <c r="BOV22" s="1773"/>
      <c r="BOW22" s="1773"/>
      <c r="BOX22" s="1773"/>
      <c r="BOY22" s="1773"/>
      <c r="BOZ22" s="1773"/>
      <c r="BPA22" s="1773"/>
      <c r="BPB22" s="1773"/>
      <c r="BPC22" s="1773"/>
      <c r="BPD22" s="1773"/>
      <c r="BPE22" s="1773"/>
      <c r="BPF22" s="1773"/>
      <c r="BPG22" s="1773"/>
      <c r="BPH22" s="1773"/>
      <c r="BPI22" s="1773"/>
      <c r="BPJ22" s="1773"/>
      <c r="BPK22" s="1773"/>
      <c r="BPL22" s="1773"/>
      <c r="BPM22" s="1773"/>
      <c r="BPN22" s="1773"/>
      <c r="BPO22" s="1773"/>
      <c r="BPP22" s="1773"/>
      <c r="BPQ22" s="1773"/>
      <c r="BPR22" s="1773"/>
      <c r="BPS22" s="1773"/>
      <c r="BPT22" s="1773"/>
      <c r="BPU22" s="1773"/>
      <c r="BPV22" s="1773"/>
      <c r="BPW22" s="1773"/>
      <c r="BPX22" s="1773"/>
      <c r="BPY22" s="1773"/>
      <c r="BPZ22" s="1773"/>
      <c r="BQA22" s="1773"/>
      <c r="BQB22" s="1773"/>
      <c r="BQC22" s="1773"/>
      <c r="BQD22" s="1773"/>
      <c r="BQE22" s="1773"/>
      <c r="BQF22" s="1773"/>
      <c r="BQG22" s="1773"/>
      <c r="BQH22" s="1773"/>
      <c r="BQI22" s="1773"/>
      <c r="BQJ22" s="1773"/>
      <c r="BQK22" s="1773"/>
      <c r="BQL22" s="1773"/>
      <c r="BQM22" s="1773"/>
      <c r="BQN22" s="1773"/>
      <c r="BQO22" s="1773"/>
      <c r="BQP22" s="1773"/>
      <c r="BQQ22" s="1773"/>
      <c r="BQR22" s="1773"/>
      <c r="BQS22" s="1773"/>
      <c r="BQT22" s="1773"/>
      <c r="BQU22" s="1773"/>
      <c r="BQV22" s="1773"/>
      <c r="BQW22" s="1773"/>
      <c r="BQX22" s="1773"/>
      <c r="BQY22" s="1773"/>
      <c r="BQZ22" s="1773"/>
      <c r="BRA22" s="1773"/>
      <c r="BRB22" s="1773"/>
      <c r="BRC22" s="1773"/>
      <c r="BRD22" s="1773"/>
      <c r="BRE22" s="1773"/>
      <c r="BRF22" s="1773"/>
      <c r="BRG22" s="1773"/>
      <c r="BRH22" s="1773"/>
      <c r="BRI22" s="1773"/>
      <c r="BRJ22" s="1773"/>
      <c r="BRK22" s="1773"/>
      <c r="BRL22" s="1773"/>
      <c r="BRM22" s="1773"/>
      <c r="BRN22" s="1773"/>
      <c r="BRO22" s="1773"/>
      <c r="BRP22" s="1773"/>
      <c r="BRQ22" s="1773"/>
      <c r="BRR22" s="1773"/>
      <c r="BRS22" s="1773"/>
      <c r="BRT22" s="1773"/>
      <c r="BRU22" s="1773"/>
      <c r="BRV22" s="1773"/>
      <c r="BRW22" s="1773"/>
      <c r="BRX22" s="1773"/>
      <c r="BRY22" s="1773"/>
      <c r="BRZ22" s="1773"/>
      <c r="BSA22" s="1773"/>
      <c r="BSB22" s="1773"/>
      <c r="BSC22" s="1773"/>
      <c r="BSD22" s="1773"/>
      <c r="BSE22" s="1773"/>
      <c r="BSF22" s="1773"/>
      <c r="BSG22" s="1773"/>
      <c r="BSH22" s="1773"/>
      <c r="BSI22" s="1773"/>
      <c r="BSJ22" s="1773"/>
      <c r="BSK22" s="1773"/>
      <c r="BSL22" s="1773"/>
      <c r="BSM22" s="1773"/>
      <c r="BSN22" s="1773"/>
      <c r="BSO22" s="1773"/>
      <c r="BSP22" s="1773"/>
      <c r="BSQ22" s="1773"/>
      <c r="BSR22" s="1773"/>
      <c r="BSS22" s="1773"/>
      <c r="BST22" s="1773"/>
      <c r="BSU22" s="1773"/>
      <c r="BSV22" s="1773"/>
      <c r="BSW22" s="1773"/>
      <c r="BSX22" s="1773"/>
      <c r="BSY22" s="1773"/>
      <c r="BSZ22" s="1773"/>
      <c r="BTA22" s="1773"/>
      <c r="BTB22" s="1773"/>
      <c r="BTC22" s="1773"/>
      <c r="BTD22" s="1773"/>
      <c r="BTE22" s="1773"/>
      <c r="BTF22" s="1773"/>
      <c r="BTG22" s="1773"/>
      <c r="BTH22" s="1773"/>
      <c r="BTI22" s="1773"/>
      <c r="BTJ22" s="1773"/>
      <c r="BTK22" s="1773"/>
      <c r="BTL22" s="1773"/>
      <c r="BTM22" s="1773"/>
      <c r="BTN22" s="1773"/>
      <c r="BTO22" s="1773"/>
      <c r="BTP22" s="1773"/>
      <c r="BTQ22" s="1773"/>
      <c r="BTR22" s="1773"/>
      <c r="BTS22" s="1773"/>
      <c r="BTT22" s="1773"/>
      <c r="BTU22" s="1773"/>
      <c r="BTV22" s="1773"/>
      <c r="BTW22" s="1773"/>
      <c r="BTX22" s="1773"/>
      <c r="BTY22" s="1773"/>
      <c r="BTZ22" s="1773"/>
      <c r="BUA22" s="1773"/>
      <c r="BUB22" s="1773"/>
      <c r="BUC22" s="1773"/>
      <c r="BUD22" s="1773"/>
      <c r="BUE22" s="1773"/>
      <c r="BUF22" s="1773"/>
      <c r="BUG22" s="1773"/>
      <c r="BUH22" s="1773"/>
      <c r="BUI22" s="1773"/>
      <c r="BUJ22" s="1773"/>
      <c r="BUK22" s="1773"/>
      <c r="BUL22" s="1773"/>
      <c r="BUM22" s="1773"/>
      <c r="BUN22" s="1773"/>
      <c r="BUO22" s="1773"/>
      <c r="BUP22" s="1773"/>
      <c r="BUQ22" s="1773"/>
      <c r="BUR22" s="1773"/>
      <c r="BUS22" s="1773"/>
      <c r="BUT22" s="1773"/>
      <c r="BUU22" s="1773"/>
      <c r="BUV22" s="1773"/>
      <c r="BUW22" s="1773"/>
      <c r="BUX22" s="1773"/>
      <c r="BUY22" s="1773"/>
      <c r="BUZ22" s="1773"/>
      <c r="BVA22" s="1773"/>
      <c r="BVB22" s="1773"/>
      <c r="BVC22" s="1773"/>
      <c r="BVD22" s="1773"/>
      <c r="BVE22" s="1773"/>
      <c r="BVF22" s="1773"/>
      <c r="BVG22" s="1773"/>
      <c r="BVH22" s="1773"/>
      <c r="BVI22" s="1773"/>
      <c r="BVJ22" s="1773"/>
      <c r="BVK22" s="1773"/>
      <c r="BVL22" s="1773"/>
      <c r="BVM22" s="1773"/>
      <c r="BVN22" s="1773"/>
      <c r="BVO22" s="1773"/>
      <c r="BVP22" s="1773"/>
      <c r="BVQ22" s="1773"/>
      <c r="BVR22" s="1773"/>
      <c r="BVS22" s="1773"/>
      <c r="BVT22" s="1773"/>
      <c r="BVU22" s="1773"/>
      <c r="BVV22" s="1773"/>
      <c r="BVW22" s="1773"/>
      <c r="BVX22" s="1773"/>
      <c r="BVY22" s="1773"/>
      <c r="BVZ22" s="1773"/>
      <c r="BWA22" s="1773"/>
      <c r="BWB22" s="1773"/>
      <c r="BWC22" s="1773"/>
      <c r="BWD22" s="1773"/>
      <c r="BWE22" s="1773"/>
      <c r="BWF22" s="1773"/>
      <c r="BWG22" s="1773"/>
      <c r="BWH22" s="1773"/>
      <c r="BWI22" s="1773"/>
      <c r="BWJ22" s="1773"/>
      <c r="BWK22" s="1773"/>
      <c r="BWL22" s="1773"/>
      <c r="BWM22" s="1773"/>
      <c r="BWN22" s="1773"/>
      <c r="BWO22" s="1773"/>
      <c r="BWP22" s="1773"/>
      <c r="BWQ22" s="1773"/>
      <c r="BWR22" s="1773"/>
      <c r="BWS22" s="1773"/>
      <c r="BWT22" s="1773"/>
      <c r="BWU22" s="1773"/>
      <c r="BWV22" s="1773"/>
      <c r="BWW22" s="1773"/>
      <c r="BWX22" s="1773"/>
      <c r="BWY22" s="1773"/>
      <c r="BWZ22" s="1773"/>
      <c r="BXA22" s="1773"/>
      <c r="BXB22" s="1773"/>
      <c r="BXC22" s="1773"/>
      <c r="BXD22" s="1773"/>
      <c r="BXE22" s="1773"/>
      <c r="BXF22" s="1773"/>
      <c r="BXG22" s="1773"/>
      <c r="BXH22" s="1773"/>
      <c r="BXI22" s="1773"/>
      <c r="BXJ22" s="1773"/>
      <c r="BXK22" s="1773"/>
      <c r="BXL22" s="1773"/>
      <c r="BXM22" s="1773"/>
      <c r="BXN22" s="1773"/>
      <c r="BXO22" s="1773"/>
      <c r="BXP22" s="1773"/>
      <c r="BXQ22" s="1773"/>
      <c r="BXR22" s="1773"/>
      <c r="BXS22" s="1773"/>
      <c r="BXT22" s="1773"/>
      <c r="BXU22" s="1773"/>
      <c r="BXV22" s="1773"/>
      <c r="BXW22" s="1773"/>
      <c r="BXX22" s="1773"/>
      <c r="BXY22" s="1773"/>
      <c r="BXZ22" s="1773"/>
      <c r="BYA22" s="1773"/>
      <c r="BYB22" s="1773"/>
      <c r="BYC22" s="1773"/>
      <c r="BYD22" s="1773"/>
      <c r="BYE22" s="1773"/>
      <c r="BYF22" s="1773"/>
      <c r="BYG22" s="1773"/>
      <c r="BYH22" s="1773"/>
      <c r="BYI22" s="1773"/>
      <c r="BYJ22" s="1773"/>
      <c r="BYK22" s="1773"/>
      <c r="BYL22" s="1773"/>
      <c r="BYM22" s="1773"/>
      <c r="BYN22" s="1773"/>
      <c r="BYO22" s="1773"/>
      <c r="BYP22" s="1773"/>
      <c r="BYQ22" s="1773"/>
      <c r="BYR22" s="1773"/>
      <c r="BYS22" s="1773"/>
      <c r="BYT22" s="1773"/>
      <c r="BYU22" s="1773"/>
      <c r="BYV22" s="1773"/>
      <c r="BYW22" s="1773"/>
      <c r="BYX22" s="1773"/>
      <c r="BYY22" s="1773"/>
      <c r="BYZ22" s="1773"/>
      <c r="BZA22" s="1773"/>
      <c r="BZB22" s="1773"/>
      <c r="BZC22" s="1773"/>
      <c r="BZD22" s="1773"/>
      <c r="BZE22" s="1773"/>
      <c r="BZF22" s="1773"/>
      <c r="BZG22" s="1773"/>
      <c r="BZH22" s="1773"/>
      <c r="BZI22" s="1773"/>
      <c r="BZJ22" s="1773"/>
      <c r="BZK22" s="1773"/>
      <c r="BZL22" s="1773"/>
      <c r="BZM22" s="1773"/>
      <c r="BZN22" s="1773"/>
      <c r="BZO22" s="1773"/>
      <c r="BZP22" s="1773"/>
      <c r="BZQ22" s="1773"/>
      <c r="BZR22" s="1773"/>
      <c r="BZS22" s="1773"/>
      <c r="BZT22" s="1773"/>
      <c r="BZU22" s="1773"/>
      <c r="BZV22" s="1773"/>
      <c r="BZW22" s="1773"/>
      <c r="BZX22" s="1773"/>
      <c r="BZY22" s="1773"/>
      <c r="BZZ22" s="1773"/>
      <c r="CAA22" s="1773"/>
      <c r="CAB22" s="1773"/>
      <c r="CAC22" s="1773"/>
      <c r="CAD22" s="1773"/>
      <c r="CAE22" s="1773"/>
      <c r="CAF22" s="1773"/>
      <c r="CAG22" s="1773"/>
      <c r="CAH22" s="1773"/>
      <c r="CAI22" s="1773"/>
      <c r="CAJ22" s="1773"/>
      <c r="CAK22" s="1773"/>
      <c r="CAL22" s="1773"/>
      <c r="CAM22" s="1773"/>
      <c r="CAN22" s="1773"/>
      <c r="CAO22" s="1773"/>
      <c r="CAP22" s="1773"/>
      <c r="CAQ22" s="1773"/>
      <c r="CAR22" s="1773"/>
      <c r="CAS22" s="1773"/>
      <c r="CAT22" s="1773"/>
      <c r="CAU22" s="1773"/>
      <c r="CAV22" s="1773"/>
      <c r="CAW22" s="1773"/>
      <c r="CAX22" s="1773"/>
      <c r="CAY22" s="1773"/>
      <c r="CAZ22" s="1773"/>
      <c r="CBA22" s="1773"/>
      <c r="CBB22" s="1773"/>
      <c r="CBC22" s="1773"/>
      <c r="CBD22" s="1773"/>
      <c r="CBE22" s="1773"/>
      <c r="CBF22" s="1773"/>
      <c r="CBG22" s="1773"/>
      <c r="CBH22" s="1773"/>
      <c r="CBI22" s="1773"/>
      <c r="CBJ22" s="1773"/>
      <c r="CBK22" s="1773"/>
      <c r="CBL22" s="1773"/>
      <c r="CBM22" s="1773"/>
      <c r="CBN22" s="1773"/>
      <c r="CBO22" s="1773"/>
      <c r="CBP22" s="1773"/>
      <c r="CBQ22" s="1773"/>
      <c r="CBR22" s="1773"/>
      <c r="CBS22" s="1773"/>
      <c r="CBT22" s="1773"/>
      <c r="CBU22" s="1773"/>
      <c r="CBV22" s="1773"/>
      <c r="CBW22" s="1773"/>
      <c r="CBX22" s="1773"/>
      <c r="CBY22" s="1773"/>
      <c r="CBZ22" s="1773"/>
      <c r="CCA22" s="1773"/>
      <c r="CCB22" s="1773"/>
      <c r="CCC22" s="1773"/>
      <c r="CCD22" s="1773"/>
      <c r="CCE22" s="1773"/>
      <c r="CCF22" s="1773"/>
      <c r="CCG22" s="1773"/>
      <c r="CCH22" s="1773"/>
      <c r="CCI22" s="1773"/>
      <c r="CCJ22" s="1773"/>
      <c r="CCK22" s="1773"/>
      <c r="CCL22" s="1773"/>
      <c r="CCM22" s="1773"/>
      <c r="CCN22" s="1773"/>
      <c r="CCO22" s="1773"/>
      <c r="CCP22" s="1773"/>
      <c r="CCQ22" s="1773"/>
      <c r="CCR22" s="1773"/>
      <c r="CCS22" s="1773"/>
      <c r="CCT22" s="1773"/>
      <c r="CCU22" s="1773"/>
      <c r="CCV22" s="1773"/>
      <c r="CCW22" s="1773"/>
      <c r="CCX22" s="1773"/>
      <c r="CCY22" s="1773"/>
      <c r="CCZ22" s="1773"/>
      <c r="CDA22" s="1773"/>
      <c r="CDB22" s="1773"/>
      <c r="CDC22" s="1773"/>
      <c r="CDD22" s="1773"/>
      <c r="CDE22" s="1773"/>
      <c r="CDF22" s="1773"/>
      <c r="CDG22" s="1773"/>
      <c r="CDH22" s="1773"/>
      <c r="CDI22" s="1773"/>
      <c r="CDJ22" s="1773"/>
      <c r="CDK22" s="1773"/>
      <c r="CDL22" s="1773"/>
      <c r="CDM22" s="1773"/>
      <c r="CDN22" s="1773"/>
      <c r="CDO22" s="1773"/>
      <c r="CDP22" s="1773"/>
      <c r="CDQ22" s="1773"/>
      <c r="CDR22" s="1773"/>
      <c r="CDS22" s="1773"/>
      <c r="CDT22" s="1773"/>
      <c r="CDU22" s="1773"/>
      <c r="CDV22" s="1773"/>
      <c r="CDW22" s="1773"/>
      <c r="CDX22" s="1773"/>
      <c r="CDY22" s="1773"/>
      <c r="CDZ22" s="1773"/>
      <c r="CEA22" s="1773"/>
      <c r="CEB22" s="1773"/>
      <c r="CEC22" s="1773"/>
      <c r="CED22" s="1773"/>
      <c r="CEE22" s="1773"/>
      <c r="CEF22" s="1773"/>
      <c r="CEG22" s="1773"/>
      <c r="CEH22" s="1773"/>
      <c r="CEI22" s="1773"/>
      <c r="CEJ22" s="1773"/>
      <c r="CEK22" s="1773"/>
      <c r="CEL22" s="1773"/>
      <c r="CEM22" s="1773"/>
      <c r="CEN22" s="1773"/>
      <c r="CEO22" s="1773"/>
      <c r="CEP22" s="1773"/>
      <c r="CEQ22" s="1773"/>
      <c r="CER22" s="1773"/>
      <c r="CES22" s="1773"/>
      <c r="CET22" s="1773"/>
      <c r="CEU22" s="1773"/>
      <c r="CEV22" s="1773"/>
      <c r="CEW22" s="1773"/>
      <c r="CEX22" s="1773"/>
      <c r="CEY22" s="1773"/>
      <c r="CEZ22" s="1773"/>
      <c r="CFA22" s="1773"/>
      <c r="CFB22" s="1773"/>
      <c r="CFC22" s="1773"/>
      <c r="CFD22" s="1773"/>
      <c r="CFE22" s="1773"/>
      <c r="CFF22" s="1773"/>
      <c r="CFG22" s="1773"/>
      <c r="CFH22" s="1773"/>
      <c r="CFI22" s="1773"/>
      <c r="CFJ22" s="1773"/>
      <c r="CFK22" s="1773"/>
      <c r="CFL22" s="1773"/>
      <c r="CFM22" s="1773"/>
      <c r="CFN22" s="1773"/>
      <c r="CFO22" s="1773"/>
      <c r="CFP22" s="1773"/>
      <c r="CFQ22" s="1773"/>
      <c r="CFR22" s="1773"/>
      <c r="CFS22" s="1773"/>
      <c r="CFT22" s="1773"/>
      <c r="CFU22" s="1773"/>
      <c r="CFV22" s="1773"/>
      <c r="CFW22" s="1773"/>
      <c r="CFX22" s="1773"/>
      <c r="CFY22" s="1773"/>
      <c r="CFZ22" s="1773"/>
      <c r="CGA22" s="1773"/>
      <c r="CGB22" s="1773"/>
      <c r="CGC22" s="1773"/>
      <c r="CGD22" s="1773"/>
      <c r="CGE22" s="1773"/>
      <c r="CGF22" s="1773"/>
      <c r="CGG22" s="1773"/>
      <c r="CGH22" s="1773"/>
      <c r="CGI22" s="1773"/>
      <c r="CGJ22" s="1773"/>
      <c r="CGK22" s="1773"/>
      <c r="CGL22" s="1773"/>
      <c r="CGM22" s="1773"/>
      <c r="CGN22" s="1773"/>
      <c r="CGO22" s="1773"/>
      <c r="CGP22" s="1773"/>
      <c r="CGQ22" s="1773"/>
      <c r="CGR22" s="1773"/>
      <c r="CGS22" s="1773"/>
      <c r="CGT22" s="1773"/>
      <c r="CGU22" s="1773"/>
      <c r="CGV22" s="1773"/>
      <c r="CGW22" s="1773"/>
      <c r="CGX22" s="1773"/>
      <c r="CGY22" s="1773"/>
      <c r="CGZ22" s="1773"/>
      <c r="CHA22" s="1773"/>
      <c r="CHB22" s="1773"/>
      <c r="CHC22" s="1773"/>
      <c r="CHD22" s="1773"/>
      <c r="CHE22" s="1773"/>
      <c r="CHF22" s="1773"/>
      <c r="CHG22" s="1773"/>
      <c r="CHH22" s="1773"/>
      <c r="CHI22" s="1773"/>
      <c r="CHJ22" s="1773"/>
      <c r="CHK22" s="1773"/>
      <c r="CHL22" s="1773"/>
      <c r="CHM22" s="1773"/>
      <c r="CHN22" s="1773"/>
      <c r="CHO22" s="1773"/>
      <c r="CHP22" s="1773"/>
      <c r="CHQ22" s="1773"/>
      <c r="CHR22" s="1773"/>
      <c r="CHS22" s="1773"/>
      <c r="CHT22" s="1773"/>
      <c r="CHU22" s="1773"/>
      <c r="CHV22" s="1773"/>
      <c r="CHW22" s="1773"/>
      <c r="CHX22" s="1773"/>
      <c r="CHY22" s="1773"/>
      <c r="CHZ22" s="1773"/>
      <c r="CIA22" s="1773"/>
      <c r="CIB22" s="1773"/>
      <c r="CIC22" s="1773"/>
      <c r="CID22" s="1773"/>
      <c r="CIE22" s="1773"/>
      <c r="CIF22" s="1773"/>
      <c r="CIG22" s="1773"/>
      <c r="CIH22" s="1773"/>
      <c r="CII22" s="1773"/>
      <c r="CIJ22" s="1773"/>
      <c r="CIK22" s="1773"/>
      <c r="CIL22" s="1773"/>
      <c r="CIM22" s="1773"/>
      <c r="CIN22" s="1773"/>
      <c r="CIO22" s="1773"/>
      <c r="CIP22" s="1773"/>
      <c r="CIQ22" s="1773"/>
      <c r="CIR22" s="1773"/>
      <c r="CIS22" s="1773"/>
      <c r="CIT22" s="1773"/>
      <c r="CIU22" s="1773"/>
      <c r="CIV22" s="1773"/>
      <c r="CIW22" s="1773"/>
      <c r="CIX22" s="1773"/>
      <c r="CIY22" s="1773"/>
      <c r="CIZ22" s="1773"/>
      <c r="CJA22" s="1773"/>
      <c r="CJB22" s="1773"/>
      <c r="CJC22" s="1773"/>
      <c r="CJD22" s="1773"/>
      <c r="CJE22" s="1773"/>
      <c r="CJF22" s="1773"/>
      <c r="CJG22" s="1773"/>
      <c r="CJH22" s="1773"/>
      <c r="CJI22" s="1773"/>
      <c r="CJJ22" s="1773"/>
      <c r="CJK22" s="1773"/>
      <c r="CJL22" s="1773"/>
      <c r="CJM22" s="1773"/>
      <c r="CJN22" s="1773"/>
      <c r="CJO22" s="1773"/>
      <c r="CJP22" s="1773"/>
      <c r="CJQ22" s="1773"/>
      <c r="CJR22" s="1773"/>
      <c r="CJS22" s="1773"/>
      <c r="CJT22" s="1773"/>
      <c r="CJU22" s="1773"/>
      <c r="CJV22" s="1773"/>
      <c r="CJW22" s="1773"/>
      <c r="CJX22" s="1773"/>
      <c r="CJY22" s="1773"/>
      <c r="CJZ22" s="1773"/>
      <c r="CKA22" s="1773"/>
      <c r="CKB22" s="1773"/>
      <c r="CKC22" s="1773"/>
      <c r="CKD22" s="1773"/>
      <c r="CKE22" s="1773"/>
      <c r="CKF22" s="1773"/>
      <c r="CKG22" s="1773"/>
      <c r="CKH22" s="1773"/>
      <c r="CKI22" s="1773"/>
      <c r="CKJ22" s="1773"/>
      <c r="CKK22" s="1773"/>
      <c r="CKL22" s="1773"/>
      <c r="CKM22" s="1773"/>
      <c r="CKN22" s="1773"/>
      <c r="CKO22" s="1773"/>
      <c r="CKP22" s="1773"/>
      <c r="CKQ22" s="1773"/>
      <c r="CKR22" s="1773"/>
      <c r="CKS22" s="1773"/>
      <c r="CKT22" s="1773"/>
      <c r="CKU22" s="1773"/>
      <c r="CKV22" s="1773"/>
      <c r="CKW22" s="1773"/>
      <c r="CKX22" s="1773"/>
      <c r="CKY22" s="1773"/>
      <c r="CKZ22" s="1773"/>
      <c r="CLA22" s="1773"/>
      <c r="CLB22" s="1773"/>
      <c r="CLC22" s="1773"/>
      <c r="CLD22" s="1773"/>
      <c r="CLE22" s="1773"/>
      <c r="CLF22" s="1773"/>
      <c r="CLG22" s="1773"/>
      <c r="CLH22" s="1773"/>
      <c r="CLI22" s="1773"/>
      <c r="CLJ22" s="1773"/>
      <c r="CLK22" s="1773"/>
      <c r="CLL22" s="1773"/>
      <c r="CLM22" s="1773"/>
      <c r="CLN22" s="1773"/>
      <c r="CLO22" s="1773"/>
      <c r="CLP22" s="1773"/>
      <c r="CLQ22" s="1773"/>
      <c r="CLR22" s="1773"/>
      <c r="CLS22" s="1773"/>
      <c r="CLT22" s="1773"/>
      <c r="CLU22" s="1773"/>
      <c r="CLV22" s="1773"/>
      <c r="CLW22" s="1773"/>
      <c r="CLX22" s="1773"/>
      <c r="CLY22" s="1773"/>
      <c r="CLZ22" s="1773"/>
      <c r="CMA22" s="1773"/>
      <c r="CMB22" s="1773"/>
      <c r="CMC22" s="1773"/>
      <c r="CMD22" s="1773"/>
      <c r="CME22" s="1773"/>
      <c r="CMF22" s="1773"/>
      <c r="CMG22" s="1773"/>
      <c r="CMH22" s="1773"/>
      <c r="CMI22" s="1773"/>
      <c r="CMJ22" s="1773"/>
      <c r="CMK22" s="1773"/>
      <c r="CML22" s="1773"/>
      <c r="CMM22" s="1773"/>
      <c r="CMN22" s="1773"/>
      <c r="CMO22" s="1773"/>
      <c r="CMP22" s="1773"/>
      <c r="CMQ22" s="1773"/>
      <c r="CMR22" s="1773"/>
      <c r="CMS22" s="1773"/>
      <c r="CMT22" s="1773"/>
      <c r="CMU22" s="1773"/>
      <c r="CMV22" s="1773"/>
      <c r="CMW22" s="1773"/>
      <c r="CMX22" s="1773"/>
      <c r="CMY22" s="1773"/>
      <c r="CMZ22" s="1773"/>
      <c r="CNA22" s="1773"/>
      <c r="CNB22" s="1773"/>
      <c r="CNC22" s="1773"/>
      <c r="CND22" s="1773"/>
      <c r="CNE22" s="1773"/>
      <c r="CNF22" s="1773"/>
      <c r="CNG22" s="1773"/>
      <c r="CNH22" s="1773"/>
      <c r="CNI22" s="1773"/>
      <c r="CNJ22" s="1773"/>
      <c r="CNK22" s="1773"/>
      <c r="CNL22" s="1773"/>
      <c r="CNM22" s="1773"/>
      <c r="CNN22" s="1773"/>
      <c r="CNO22" s="1773"/>
      <c r="CNP22" s="1773"/>
      <c r="CNQ22" s="1773"/>
      <c r="CNR22" s="1773"/>
      <c r="CNS22" s="1773"/>
      <c r="CNT22" s="1773"/>
      <c r="CNU22" s="1773"/>
      <c r="CNV22" s="1773"/>
      <c r="CNW22" s="1773"/>
      <c r="CNX22" s="1773"/>
      <c r="CNY22" s="1773"/>
      <c r="CNZ22" s="1773"/>
      <c r="COA22" s="1773"/>
      <c r="COB22" s="1773"/>
      <c r="COC22" s="1773"/>
      <c r="COD22" s="1773"/>
      <c r="COE22" s="1773"/>
      <c r="COF22" s="1773"/>
      <c r="COG22" s="1773"/>
      <c r="COH22" s="1773"/>
      <c r="COI22" s="1773"/>
      <c r="COJ22" s="1773"/>
      <c r="COK22" s="1773"/>
      <c r="COL22" s="1773"/>
      <c r="COM22" s="1773"/>
      <c r="CON22" s="1773"/>
      <c r="COO22" s="1773"/>
      <c r="COP22" s="1773"/>
      <c r="COQ22" s="1773"/>
      <c r="COR22" s="1773"/>
      <c r="COS22" s="1773"/>
      <c r="COT22" s="1773"/>
      <c r="COU22" s="1773"/>
      <c r="COV22" s="1773"/>
      <c r="COW22" s="1773"/>
      <c r="COX22" s="1773"/>
      <c r="COY22" s="1773"/>
      <c r="COZ22" s="1773"/>
      <c r="CPA22" s="1773"/>
      <c r="CPB22" s="1773"/>
      <c r="CPC22" s="1773"/>
      <c r="CPD22" s="1773"/>
      <c r="CPE22" s="1773"/>
      <c r="CPF22" s="1773"/>
      <c r="CPG22" s="1773"/>
      <c r="CPH22" s="1773"/>
      <c r="CPI22" s="1773"/>
      <c r="CPJ22" s="1773"/>
      <c r="CPK22" s="1773"/>
      <c r="CPL22" s="1773"/>
      <c r="CPM22" s="1773"/>
      <c r="CPN22" s="1773"/>
      <c r="CPO22" s="1773"/>
      <c r="CPP22" s="1773"/>
      <c r="CPQ22" s="1773"/>
      <c r="CPR22" s="1773"/>
      <c r="CPS22" s="1773"/>
      <c r="CPT22" s="1773"/>
      <c r="CPU22" s="1773"/>
      <c r="CPV22" s="1773"/>
      <c r="CPW22" s="1773"/>
      <c r="CPX22" s="1773"/>
      <c r="CPY22" s="1773"/>
      <c r="CPZ22" s="1773"/>
      <c r="CQA22" s="1773"/>
      <c r="CQB22" s="1773"/>
      <c r="CQC22" s="1773"/>
      <c r="CQD22" s="1773"/>
      <c r="CQE22" s="1773"/>
      <c r="CQF22" s="1773"/>
      <c r="CQG22" s="1773"/>
      <c r="CQH22" s="1773"/>
      <c r="CQI22" s="1773"/>
      <c r="CQJ22" s="1773"/>
      <c r="CQK22" s="1773"/>
      <c r="CQL22" s="1773"/>
      <c r="CQM22" s="1773"/>
      <c r="CQN22" s="1773"/>
      <c r="CQO22" s="1773"/>
      <c r="CQP22" s="1773"/>
      <c r="CQQ22" s="1773"/>
      <c r="CQR22" s="1773"/>
      <c r="CQS22" s="1773"/>
      <c r="CQT22" s="1773"/>
      <c r="CQU22" s="1773"/>
      <c r="CQV22" s="1773"/>
      <c r="CQW22" s="1773"/>
      <c r="CQX22" s="1773"/>
      <c r="CQY22" s="1773"/>
      <c r="CQZ22" s="1773"/>
      <c r="CRA22" s="1773"/>
      <c r="CRB22" s="1773"/>
      <c r="CRC22" s="1773"/>
      <c r="CRD22" s="1773"/>
      <c r="CRE22" s="1773"/>
      <c r="CRF22" s="1773"/>
      <c r="CRG22" s="1773"/>
      <c r="CRH22" s="1773"/>
      <c r="CRI22" s="1773"/>
      <c r="CRJ22" s="1773"/>
      <c r="CRK22" s="1773"/>
      <c r="CRL22" s="1773"/>
      <c r="CRM22" s="1773"/>
      <c r="CRN22" s="1773"/>
      <c r="CRO22" s="1773"/>
      <c r="CRP22" s="1773"/>
      <c r="CRQ22" s="1773"/>
      <c r="CRR22" s="1773"/>
      <c r="CRS22" s="1773"/>
      <c r="CRT22" s="1773"/>
      <c r="CRU22" s="1773"/>
      <c r="CRV22" s="1773"/>
      <c r="CRW22" s="1773"/>
      <c r="CRX22" s="1773"/>
      <c r="CRY22" s="1773"/>
      <c r="CRZ22" s="1773"/>
      <c r="CSA22" s="1773"/>
      <c r="CSB22" s="1773"/>
      <c r="CSC22" s="1773"/>
      <c r="CSD22" s="1773"/>
      <c r="CSE22" s="1773"/>
      <c r="CSF22" s="1773"/>
      <c r="CSG22" s="1773"/>
      <c r="CSH22" s="1773"/>
      <c r="CSI22" s="1773"/>
      <c r="CSJ22" s="1773"/>
      <c r="CSK22" s="1773"/>
      <c r="CSL22" s="1773"/>
      <c r="CSM22" s="1773"/>
      <c r="CSN22" s="1773"/>
      <c r="CSO22" s="1773"/>
      <c r="CSP22" s="1773"/>
      <c r="CSQ22" s="1773"/>
      <c r="CSR22" s="1773"/>
      <c r="CSS22" s="1773"/>
      <c r="CST22" s="1773"/>
      <c r="CSU22" s="1773"/>
      <c r="CSV22" s="1773"/>
      <c r="CSW22" s="1773"/>
      <c r="CSX22" s="1773"/>
      <c r="CSY22" s="1773"/>
      <c r="CSZ22" s="1773"/>
      <c r="CTA22" s="1773"/>
      <c r="CTB22" s="1773"/>
      <c r="CTC22" s="1773"/>
      <c r="CTD22" s="1773"/>
      <c r="CTE22" s="1773"/>
      <c r="CTF22" s="1773"/>
      <c r="CTG22" s="1773"/>
      <c r="CTH22" s="1773"/>
      <c r="CTI22" s="1773"/>
      <c r="CTJ22" s="1773"/>
      <c r="CTK22" s="1773"/>
      <c r="CTL22" s="1773"/>
      <c r="CTM22" s="1773"/>
      <c r="CTN22" s="1773"/>
      <c r="CTO22" s="1773"/>
      <c r="CTP22" s="1773"/>
      <c r="CTQ22" s="1773"/>
      <c r="CTR22" s="1773"/>
      <c r="CTS22" s="1773"/>
      <c r="CTT22" s="1773"/>
      <c r="CTU22" s="1773"/>
      <c r="CTV22" s="1773"/>
      <c r="CTW22" s="1773"/>
      <c r="CTX22" s="1773"/>
      <c r="CTY22" s="1773"/>
      <c r="CTZ22" s="1773"/>
      <c r="CUA22" s="1773"/>
      <c r="CUB22" s="1773"/>
      <c r="CUC22" s="1773"/>
      <c r="CUD22" s="1773"/>
      <c r="CUE22" s="1773"/>
      <c r="CUF22" s="1773"/>
      <c r="CUG22" s="1773"/>
      <c r="CUH22" s="1773"/>
      <c r="CUI22" s="1773"/>
      <c r="CUJ22" s="1773"/>
      <c r="CUK22" s="1773"/>
      <c r="CUL22" s="1773"/>
      <c r="CUM22" s="1773"/>
      <c r="CUN22" s="1773"/>
      <c r="CUO22" s="1773"/>
      <c r="CUP22" s="1773"/>
      <c r="CUQ22" s="1773"/>
      <c r="CUR22" s="1773"/>
      <c r="CUS22" s="1773"/>
      <c r="CUT22" s="1773"/>
      <c r="CUU22" s="1773"/>
      <c r="CUV22" s="1773"/>
      <c r="CUW22" s="1773"/>
      <c r="CUX22" s="1773"/>
      <c r="CUY22" s="1773"/>
      <c r="CUZ22" s="1773"/>
      <c r="CVA22" s="1773"/>
      <c r="CVB22" s="1773"/>
      <c r="CVC22" s="1773"/>
      <c r="CVD22" s="1773"/>
      <c r="CVE22" s="1773"/>
      <c r="CVF22" s="1773"/>
      <c r="CVG22" s="1773"/>
      <c r="CVH22" s="1773"/>
      <c r="CVI22" s="1773"/>
      <c r="CVJ22" s="1773"/>
      <c r="CVK22" s="1773"/>
      <c r="CVL22" s="1773"/>
      <c r="CVM22" s="1773"/>
      <c r="CVN22" s="1773"/>
      <c r="CVO22" s="1773"/>
      <c r="CVP22" s="1773"/>
      <c r="CVQ22" s="1773"/>
      <c r="CVR22" s="1773"/>
      <c r="CVS22" s="1773"/>
      <c r="CVT22" s="1773"/>
      <c r="CVU22" s="1773"/>
      <c r="CVV22" s="1773"/>
      <c r="CVW22" s="1773"/>
      <c r="CVX22" s="1773"/>
      <c r="CVY22" s="1773"/>
      <c r="CVZ22" s="1773"/>
      <c r="CWA22" s="1773"/>
      <c r="CWB22" s="1773"/>
      <c r="CWC22" s="1773"/>
      <c r="CWD22" s="1773"/>
      <c r="CWE22" s="1773"/>
      <c r="CWF22" s="1773"/>
      <c r="CWG22" s="1773"/>
      <c r="CWH22" s="1773"/>
      <c r="CWI22" s="1773"/>
      <c r="CWJ22" s="1773"/>
      <c r="CWK22" s="1773"/>
      <c r="CWL22" s="1773"/>
      <c r="CWM22" s="1773"/>
      <c r="CWN22" s="1773"/>
      <c r="CWO22" s="1773"/>
      <c r="CWP22" s="1773"/>
      <c r="CWQ22" s="1773"/>
      <c r="CWR22" s="1773"/>
      <c r="CWS22" s="1773"/>
      <c r="CWT22" s="1773"/>
      <c r="CWU22" s="1773"/>
      <c r="CWV22" s="1773"/>
      <c r="CWW22" s="1773"/>
      <c r="CWX22" s="1773"/>
      <c r="CWY22" s="1773"/>
      <c r="CWZ22" s="1773"/>
      <c r="CXA22" s="1773"/>
      <c r="CXB22" s="1773"/>
      <c r="CXC22" s="1773"/>
      <c r="CXD22" s="1773"/>
      <c r="CXE22" s="1773"/>
      <c r="CXF22" s="1773"/>
      <c r="CXG22" s="1773"/>
      <c r="CXH22" s="1773"/>
      <c r="CXI22" s="1773"/>
      <c r="CXJ22" s="1773"/>
      <c r="CXK22" s="1773"/>
      <c r="CXL22" s="1773"/>
      <c r="CXM22" s="1773"/>
      <c r="CXN22" s="1773"/>
      <c r="CXO22" s="1773"/>
      <c r="CXP22" s="1773"/>
      <c r="CXQ22" s="1773"/>
      <c r="CXR22" s="1773"/>
      <c r="CXS22" s="1773"/>
      <c r="CXT22" s="1773"/>
      <c r="CXU22" s="1773"/>
      <c r="CXV22" s="1773"/>
      <c r="CXW22" s="1773"/>
      <c r="CXX22" s="1773"/>
      <c r="CXY22" s="1773"/>
      <c r="CXZ22" s="1773"/>
      <c r="CYA22" s="1773"/>
      <c r="CYB22" s="1773"/>
      <c r="CYC22" s="1773"/>
      <c r="CYD22" s="1773"/>
      <c r="CYE22" s="1773"/>
      <c r="CYF22" s="1773"/>
      <c r="CYG22" s="1773"/>
      <c r="CYH22" s="1773"/>
      <c r="CYI22" s="1773"/>
      <c r="CYJ22" s="1773"/>
      <c r="CYK22" s="1773"/>
      <c r="CYL22" s="1773"/>
      <c r="CYM22" s="1773"/>
      <c r="CYN22" s="1773"/>
      <c r="CYO22" s="1773"/>
      <c r="CYP22" s="1773"/>
      <c r="CYQ22" s="1773"/>
      <c r="CYR22" s="1773"/>
      <c r="CYS22" s="1773"/>
      <c r="CYT22" s="1773"/>
      <c r="CYU22" s="1773"/>
      <c r="CYV22" s="1773"/>
      <c r="CYW22" s="1773"/>
      <c r="CYX22" s="1773"/>
      <c r="CYY22" s="1773"/>
      <c r="CYZ22" s="1773"/>
      <c r="CZA22" s="1773"/>
      <c r="CZB22" s="1773"/>
      <c r="CZC22" s="1773"/>
      <c r="CZD22" s="1773"/>
      <c r="CZE22" s="1773"/>
      <c r="CZF22" s="1773"/>
      <c r="CZG22" s="1773"/>
      <c r="CZH22" s="1773"/>
      <c r="CZI22" s="1773"/>
      <c r="CZJ22" s="1773"/>
      <c r="CZK22" s="1773"/>
      <c r="CZL22" s="1773"/>
      <c r="CZM22" s="1773"/>
      <c r="CZN22" s="1773"/>
      <c r="CZO22" s="1773"/>
      <c r="CZP22" s="1773"/>
      <c r="CZQ22" s="1773"/>
      <c r="CZR22" s="1773"/>
      <c r="CZS22" s="1773"/>
      <c r="CZT22" s="1773"/>
      <c r="CZU22" s="1773"/>
      <c r="CZV22" s="1773"/>
      <c r="CZW22" s="1773"/>
      <c r="CZX22" s="1773"/>
      <c r="CZY22" s="1773"/>
      <c r="CZZ22" s="1773"/>
      <c r="DAA22" s="1773"/>
      <c r="DAB22" s="1773"/>
      <c r="DAC22" s="1773"/>
      <c r="DAD22" s="1773"/>
      <c r="DAE22" s="1773"/>
      <c r="DAF22" s="1773"/>
      <c r="DAG22" s="1773"/>
      <c r="DAH22" s="1773"/>
      <c r="DAI22" s="1773"/>
      <c r="DAJ22" s="1773"/>
      <c r="DAK22" s="1773"/>
      <c r="DAL22" s="1773"/>
      <c r="DAM22" s="1773"/>
      <c r="DAN22" s="1773"/>
      <c r="DAO22" s="1773"/>
      <c r="DAP22" s="1773"/>
      <c r="DAQ22" s="1773"/>
      <c r="DAR22" s="1773"/>
      <c r="DAS22" s="1773"/>
      <c r="DAT22" s="1773"/>
      <c r="DAU22" s="1773"/>
      <c r="DAV22" s="1773"/>
      <c r="DAW22" s="1773"/>
      <c r="DAX22" s="1773"/>
      <c r="DAY22" s="1773"/>
      <c r="DAZ22" s="1773"/>
      <c r="DBA22" s="1773"/>
      <c r="DBB22" s="1773"/>
      <c r="DBC22" s="1773"/>
      <c r="DBD22" s="1773"/>
      <c r="DBE22" s="1773"/>
      <c r="DBF22" s="1773"/>
      <c r="DBG22" s="1773"/>
      <c r="DBH22" s="1773"/>
      <c r="DBI22" s="1773"/>
      <c r="DBJ22" s="1773"/>
      <c r="DBK22" s="1773"/>
      <c r="DBL22" s="1773"/>
      <c r="DBM22" s="1773"/>
      <c r="DBN22" s="1773"/>
      <c r="DBO22" s="1773"/>
      <c r="DBP22" s="1773"/>
      <c r="DBQ22" s="1773"/>
      <c r="DBR22" s="1773"/>
      <c r="DBS22" s="1773"/>
      <c r="DBT22" s="1773"/>
      <c r="DBU22" s="1773"/>
      <c r="DBV22" s="1773"/>
      <c r="DBW22" s="1773"/>
      <c r="DBX22" s="1773"/>
      <c r="DBY22" s="1773"/>
      <c r="DBZ22" s="1773"/>
      <c r="DCA22" s="1773"/>
      <c r="DCB22" s="1773"/>
      <c r="DCC22" s="1773"/>
      <c r="DCD22" s="1773"/>
      <c r="DCE22" s="1773"/>
      <c r="DCF22" s="1773"/>
      <c r="DCG22" s="1773"/>
      <c r="DCH22" s="1773"/>
      <c r="DCI22" s="1773"/>
      <c r="DCJ22" s="1773"/>
      <c r="DCK22" s="1773"/>
      <c r="DCL22" s="1773"/>
      <c r="DCM22" s="1773"/>
      <c r="DCN22" s="1773"/>
      <c r="DCO22" s="1773"/>
      <c r="DCP22" s="1773"/>
      <c r="DCQ22" s="1773"/>
      <c r="DCR22" s="1773"/>
      <c r="DCS22" s="1773"/>
      <c r="DCT22" s="1773"/>
      <c r="DCU22" s="1773"/>
      <c r="DCV22" s="1773"/>
      <c r="DCW22" s="1773"/>
      <c r="DCX22" s="1773"/>
      <c r="DCY22" s="1773"/>
      <c r="DCZ22" s="1773"/>
      <c r="DDA22" s="1773"/>
      <c r="DDB22" s="1773"/>
      <c r="DDC22" s="1773"/>
      <c r="DDD22" s="1773"/>
      <c r="DDE22" s="1773"/>
      <c r="DDF22" s="1773"/>
      <c r="DDG22" s="1773"/>
      <c r="DDH22" s="1773"/>
      <c r="DDI22" s="1773"/>
      <c r="DDJ22" s="1773"/>
      <c r="DDK22" s="1773"/>
      <c r="DDL22" s="1773"/>
      <c r="DDM22" s="1773"/>
      <c r="DDN22" s="1773"/>
      <c r="DDO22" s="1773"/>
      <c r="DDP22" s="1773"/>
      <c r="DDQ22" s="1773"/>
      <c r="DDR22" s="1773"/>
      <c r="DDS22" s="1773"/>
      <c r="DDT22" s="1773"/>
      <c r="DDU22" s="1773"/>
      <c r="DDV22" s="1773"/>
      <c r="DDW22" s="1773"/>
      <c r="DDX22" s="1773"/>
      <c r="DDY22" s="1773"/>
      <c r="DDZ22" s="1773"/>
      <c r="DEA22" s="1773"/>
      <c r="DEB22" s="1773"/>
      <c r="DEC22" s="1773"/>
      <c r="DED22" s="1773"/>
      <c r="DEE22" s="1773"/>
      <c r="DEF22" s="1773"/>
      <c r="DEG22" s="1773"/>
      <c r="DEH22" s="1773"/>
      <c r="DEI22" s="1773"/>
      <c r="DEJ22" s="1773"/>
      <c r="DEK22" s="1773"/>
      <c r="DEL22" s="1773"/>
      <c r="DEM22" s="1773"/>
      <c r="DEN22" s="1773"/>
      <c r="DEO22" s="1773"/>
      <c r="DEP22" s="1773"/>
      <c r="DEQ22" s="1773"/>
      <c r="DER22" s="1773"/>
      <c r="DES22" s="1773"/>
      <c r="DET22" s="1773"/>
      <c r="DEU22" s="1773"/>
      <c r="DEV22" s="1773"/>
      <c r="DEW22" s="1773"/>
      <c r="DEX22" s="1773"/>
      <c r="DEY22" s="1773"/>
      <c r="DEZ22" s="1773"/>
      <c r="DFA22" s="1773"/>
      <c r="DFB22" s="1773"/>
      <c r="DFC22" s="1773"/>
      <c r="DFD22" s="1773"/>
      <c r="DFE22" s="1773"/>
      <c r="DFF22" s="1773"/>
      <c r="DFG22" s="1773"/>
      <c r="DFH22" s="1773"/>
      <c r="DFI22" s="1773"/>
      <c r="DFJ22" s="1773"/>
      <c r="DFK22" s="1773"/>
      <c r="DFL22" s="1773"/>
      <c r="DFM22" s="1773"/>
      <c r="DFN22" s="1773"/>
      <c r="DFO22" s="1773"/>
      <c r="DFP22" s="1773"/>
      <c r="DFQ22" s="1773"/>
      <c r="DFR22" s="1773"/>
      <c r="DFS22" s="1773"/>
      <c r="DFT22" s="1773"/>
      <c r="DFU22" s="1773"/>
      <c r="DFV22" s="1773"/>
      <c r="DFW22" s="1773"/>
      <c r="DFX22" s="1773"/>
      <c r="DFY22" s="1773"/>
      <c r="DFZ22" s="1773"/>
      <c r="DGA22" s="1773"/>
      <c r="DGB22" s="1773"/>
      <c r="DGC22" s="1773"/>
      <c r="DGD22" s="1773"/>
      <c r="DGE22" s="1773"/>
      <c r="DGF22" s="1773"/>
      <c r="DGG22" s="1773"/>
      <c r="DGH22" s="1773"/>
      <c r="DGI22" s="1773"/>
      <c r="DGJ22" s="1773"/>
      <c r="DGK22" s="1773"/>
      <c r="DGL22" s="1773"/>
      <c r="DGM22" s="1773"/>
      <c r="DGN22" s="1773"/>
      <c r="DGO22" s="1773"/>
      <c r="DGP22" s="1773"/>
      <c r="DGQ22" s="1773"/>
      <c r="DGR22" s="1773"/>
      <c r="DGS22" s="1773"/>
      <c r="DGT22" s="1773"/>
      <c r="DGU22" s="1773"/>
      <c r="DGV22" s="1773"/>
      <c r="DGW22" s="1773"/>
      <c r="DGX22" s="1773"/>
      <c r="DGY22" s="1773"/>
      <c r="DGZ22" s="1773"/>
      <c r="DHA22" s="1773"/>
      <c r="DHB22" s="1773"/>
      <c r="DHC22" s="1773"/>
      <c r="DHD22" s="1773"/>
      <c r="DHE22" s="1773"/>
      <c r="DHF22" s="1773"/>
      <c r="DHG22" s="1773"/>
      <c r="DHH22" s="1773"/>
      <c r="DHI22" s="1773"/>
      <c r="DHJ22" s="1773"/>
      <c r="DHK22" s="1773"/>
      <c r="DHL22" s="1773"/>
      <c r="DHM22" s="1773"/>
      <c r="DHN22" s="1773"/>
      <c r="DHO22" s="1773"/>
      <c r="DHP22" s="1773"/>
      <c r="DHQ22" s="1773"/>
      <c r="DHR22" s="1773"/>
      <c r="DHS22" s="1773"/>
      <c r="DHT22" s="1773"/>
      <c r="DHU22" s="1773"/>
      <c r="DHV22" s="1773"/>
      <c r="DHW22" s="1773"/>
      <c r="DHX22" s="1773"/>
      <c r="DHY22" s="1773"/>
      <c r="DHZ22" s="1773"/>
      <c r="DIA22" s="1773"/>
      <c r="DIB22" s="1773"/>
      <c r="DIC22" s="1773"/>
      <c r="DID22" s="1773"/>
      <c r="DIE22" s="1773"/>
      <c r="DIF22" s="1773"/>
      <c r="DIG22" s="1773"/>
      <c r="DIH22" s="1773"/>
      <c r="DII22" s="1773"/>
      <c r="DIJ22" s="1773"/>
      <c r="DIK22" s="1773"/>
      <c r="DIL22" s="1773"/>
      <c r="DIM22" s="1773"/>
      <c r="DIN22" s="1773"/>
      <c r="DIO22" s="1773"/>
      <c r="DIP22" s="1773"/>
      <c r="DIQ22" s="1773"/>
      <c r="DIR22" s="1773"/>
      <c r="DIS22" s="1773"/>
      <c r="DIT22" s="1773"/>
      <c r="DIU22" s="1773"/>
      <c r="DIV22" s="1773"/>
      <c r="DIW22" s="1773"/>
      <c r="DIX22" s="1773"/>
      <c r="DIY22" s="1773"/>
      <c r="DIZ22" s="1773"/>
      <c r="DJA22" s="1773"/>
      <c r="DJB22" s="1773"/>
      <c r="DJC22" s="1773"/>
      <c r="DJD22" s="1773"/>
      <c r="DJE22" s="1773"/>
      <c r="DJF22" s="1773"/>
      <c r="DJG22" s="1773"/>
      <c r="DJH22" s="1773"/>
      <c r="DJI22" s="1773"/>
      <c r="DJJ22" s="1773"/>
      <c r="DJK22" s="1773"/>
      <c r="DJL22" s="1773"/>
      <c r="DJM22" s="1773"/>
      <c r="DJN22" s="1773"/>
      <c r="DJO22" s="1773"/>
      <c r="DJP22" s="1773"/>
      <c r="DJQ22" s="1773"/>
      <c r="DJR22" s="1773"/>
      <c r="DJS22" s="1773"/>
      <c r="DJT22" s="1773"/>
      <c r="DJU22" s="1773"/>
      <c r="DJV22" s="1773"/>
      <c r="DJW22" s="1773"/>
      <c r="DJX22" s="1773"/>
      <c r="DJY22" s="1773"/>
      <c r="DJZ22" s="1773"/>
      <c r="DKA22" s="1773"/>
      <c r="DKB22" s="1773"/>
      <c r="DKC22" s="1773"/>
      <c r="DKD22" s="1773"/>
      <c r="DKE22" s="1773"/>
      <c r="DKF22" s="1773"/>
      <c r="DKG22" s="1773"/>
      <c r="DKH22" s="1773"/>
      <c r="DKI22" s="1773"/>
      <c r="DKJ22" s="1773"/>
      <c r="DKK22" s="1773"/>
      <c r="DKL22" s="1773"/>
      <c r="DKM22" s="1773"/>
      <c r="DKN22" s="1773"/>
      <c r="DKO22" s="1773"/>
      <c r="DKP22" s="1773"/>
      <c r="DKQ22" s="1773"/>
      <c r="DKR22" s="1773"/>
      <c r="DKS22" s="1773"/>
      <c r="DKT22" s="1773"/>
      <c r="DKU22" s="1773"/>
      <c r="DKV22" s="1773"/>
      <c r="DKW22" s="1773"/>
      <c r="DKX22" s="1773"/>
      <c r="DKY22" s="1773"/>
      <c r="DKZ22" s="1773"/>
      <c r="DLA22" s="1773"/>
      <c r="DLB22" s="1773"/>
      <c r="DLC22" s="1773"/>
      <c r="DLD22" s="1773"/>
      <c r="DLE22" s="1773"/>
      <c r="DLF22" s="1773"/>
      <c r="DLG22" s="1773"/>
      <c r="DLH22" s="1773"/>
      <c r="DLI22" s="1773"/>
      <c r="DLJ22" s="1773"/>
      <c r="DLK22" s="1773"/>
      <c r="DLL22" s="1773"/>
      <c r="DLM22" s="1773"/>
      <c r="DLN22" s="1773"/>
      <c r="DLO22" s="1773"/>
      <c r="DLP22" s="1773"/>
      <c r="DLQ22" s="1773"/>
      <c r="DLR22" s="1773"/>
      <c r="DLS22" s="1773"/>
      <c r="DLT22" s="1773"/>
      <c r="DLU22" s="1773"/>
      <c r="DLV22" s="1773"/>
      <c r="DLW22" s="1773"/>
      <c r="DLX22" s="1773"/>
      <c r="DLY22" s="1773"/>
      <c r="DLZ22" s="1773"/>
      <c r="DMA22" s="1773"/>
      <c r="DMB22" s="1773"/>
      <c r="DMC22" s="1773"/>
      <c r="DMD22" s="1773"/>
      <c r="DME22" s="1773"/>
      <c r="DMF22" s="1773"/>
      <c r="DMG22" s="1773"/>
      <c r="DMH22" s="1773"/>
      <c r="DMI22" s="1773"/>
      <c r="DMJ22" s="1773"/>
      <c r="DMK22" s="1773"/>
      <c r="DML22" s="1773"/>
      <c r="DMM22" s="1773"/>
      <c r="DMN22" s="1773"/>
      <c r="DMO22" s="1773"/>
      <c r="DMP22" s="1773"/>
      <c r="DMQ22" s="1773"/>
      <c r="DMR22" s="1773"/>
      <c r="DMS22" s="1773"/>
      <c r="DMT22" s="1773"/>
      <c r="DMU22" s="1773"/>
      <c r="DMV22" s="1773"/>
      <c r="DMW22" s="1773"/>
      <c r="DMX22" s="1773"/>
      <c r="DMY22" s="1773"/>
      <c r="DMZ22" s="1773"/>
      <c r="DNA22" s="1773"/>
      <c r="DNB22" s="1773"/>
      <c r="DNC22" s="1773"/>
      <c r="DND22" s="1773"/>
      <c r="DNE22" s="1773"/>
      <c r="DNF22" s="1773"/>
      <c r="DNG22" s="1773"/>
      <c r="DNH22" s="1773"/>
      <c r="DNI22" s="1773"/>
      <c r="DNJ22" s="1773"/>
      <c r="DNK22" s="1773"/>
      <c r="DNL22" s="1773"/>
      <c r="DNM22" s="1773"/>
      <c r="DNN22" s="1773"/>
      <c r="DNO22" s="1773"/>
      <c r="DNP22" s="1773"/>
      <c r="DNQ22" s="1773"/>
      <c r="DNR22" s="1773"/>
      <c r="DNS22" s="1773"/>
      <c r="DNT22" s="1773"/>
      <c r="DNU22" s="1773"/>
      <c r="DNV22" s="1773"/>
      <c r="DNW22" s="1773"/>
      <c r="DNX22" s="1773"/>
      <c r="DNY22" s="1773"/>
      <c r="DNZ22" s="1773"/>
      <c r="DOA22" s="1773"/>
      <c r="DOB22" s="1773"/>
      <c r="DOC22" s="1773"/>
      <c r="DOD22" s="1773"/>
      <c r="DOE22" s="1773"/>
      <c r="DOF22" s="1773"/>
      <c r="DOG22" s="1773"/>
      <c r="DOH22" s="1773"/>
      <c r="DOI22" s="1773"/>
      <c r="DOJ22" s="1773"/>
      <c r="DOK22" s="1773"/>
      <c r="DOL22" s="1773"/>
      <c r="DOM22" s="1773"/>
      <c r="DON22" s="1773"/>
      <c r="DOO22" s="1773"/>
      <c r="DOP22" s="1773"/>
      <c r="DOQ22" s="1773"/>
      <c r="DOR22" s="1773"/>
      <c r="DOS22" s="1773"/>
      <c r="DOT22" s="1773"/>
      <c r="DOU22" s="1773"/>
      <c r="DOV22" s="1773"/>
      <c r="DOW22" s="1773"/>
      <c r="DOX22" s="1773"/>
      <c r="DOY22" s="1773"/>
      <c r="DOZ22" s="1773"/>
      <c r="DPA22" s="1773"/>
      <c r="DPB22" s="1773"/>
      <c r="DPC22" s="1773"/>
      <c r="DPD22" s="1773"/>
      <c r="DPE22" s="1773"/>
      <c r="DPF22" s="1773"/>
      <c r="DPG22" s="1773"/>
      <c r="DPH22" s="1773"/>
      <c r="DPI22" s="1773"/>
      <c r="DPJ22" s="1773"/>
      <c r="DPK22" s="1773"/>
      <c r="DPL22" s="1773"/>
      <c r="DPM22" s="1773"/>
      <c r="DPN22" s="1773"/>
      <c r="DPO22" s="1773"/>
      <c r="DPP22" s="1773"/>
      <c r="DPQ22" s="1773"/>
      <c r="DPR22" s="1773"/>
      <c r="DPS22" s="1773"/>
      <c r="DPT22" s="1773"/>
      <c r="DPU22" s="1773"/>
      <c r="DPV22" s="1773"/>
      <c r="DPW22" s="1773"/>
      <c r="DPX22" s="1773"/>
      <c r="DPY22" s="1773"/>
      <c r="DPZ22" s="1773"/>
      <c r="DQA22" s="1773"/>
      <c r="DQB22" s="1773"/>
      <c r="DQC22" s="1773"/>
      <c r="DQD22" s="1773"/>
      <c r="DQE22" s="1773"/>
      <c r="DQF22" s="1773"/>
      <c r="DQG22" s="1773"/>
      <c r="DQH22" s="1773"/>
      <c r="DQI22" s="1773"/>
      <c r="DQJ22" s="1773"/>
      <c r="DQK22" s="1773"/>
      <c r="DQL22" s="1773"/>
      <c r="DQM22" s="1773"/>
      <c r="DQN22" s="1773"/>
      <c r="DQO22" s="1773"/>
      <c r="DQP22" s="1773"/>
      <c r="DQQ22" s="1773"/>
      <c r="DQR22" s="1773"/>
      <c r="DQS22" s="1773"/>
      <c r="DQT22" s="1773"/>
      <c r="DQU22" s="1773"/>
      <c r="DQV22" s="1773"/>
      <c r="DQW22" s="1773"/>
      <c r="DQX22" s="1773"/>
      <c r="DQY22" s="1773"/>
      <c r="DQZ22" s="1773"/>
      <c r="DRA22" s="1773"/>
      <c r="DRB22" s="1773"/>
      <c r="DRC22" s="1773"/>
      <c r="DRD22" s="1773"/>
      <c r="DRE22" s="1773"/>
      <c r="DRF22" s="1773"/>
      <c r="DRG22" s="1773"/>
      <c r="DRH22" s="1773"/>
      <c r="DRI22" s="1773"/>
      <c r="DRJ22" s="1773"/>
      <c r="DRK22" s="1773"/>
      <c r="DRL22" s="1773"/>
      <c r="DRM22" s="1773"/>
      <c r="DRN22" s="1773"/>
      <c r="DRO22" s="1773"/>
      <c r="DRP22" s="1773"/>
      <c r="DRQ22" s="1773"/>
      <c r="DRR22" s="1773"/>
      <c r="DRS22" s="1773"/>
      <c r="DRT22" s="1773"/>
      <c r="DRU22" s="1773"/>
      <c r="DRV22" s="1773"/>
      <c r="DRW22" s="1773"/>
      <c r="DRX22" s="1773"/>
      <c r="DRY22" s="1773"/>
      <c r="DRZ22" s="1773"/>
      <c r="DSA22" s="1773"/>
      <c r="DSB22" s="1773"/>
      <c r="DSC22" s="1773"/>
      <c r="DSD22" s="1773"/>
      <c r="DSE22" s="1773"/>
      <c r="DSF22" s="1773"/>
      <c r="DSG22" s="1773"/>
      <c r="DSH22" s="1773"/>
      <c r="DSI22" s="1773"/>
      <c r="DSJ22" s="1773"/>
      <c r="DSK22" s="1773"/>
      <c r="DSL22" s="1773"/>
      <c r="DSM22" s="1773"/>
      <c r="DSN22" s="1773"/>
      <c r="DSO22" s="1773"/>
      <c r="DSP22" s="1773"/>
      <c r="DSQ22" s="1773"/>
      <c r="DSR22" s="1773"/>
      <c r="DSS22" s="1773"/>
      <c r="DST22" s="1773"/>
      <c r="DSU22" s="1773"/>
      <c r="DSV22" s="1773"/>
      <c r="DSW22" s="1773"/>
      <c r="DSX22" s="1773"/>
      <c r="DSY22" s="1773"/>
      <c r="DSZ22" s="1773"/>
      <c r="DTA22" s="1773"/>
      <c r="DTB22" s="1773"/>
      <c r="DTC22" s="1773"/>
      <c r="DTD22" s="1773"/>
      <c r="DTE22" s="1773"/>
      <c r="DTF22" s="1773"/>
      <c r="DTG22" s="1773"/>
      <c r="DTH22" s="1773"/>
      <c r="DTI22" s="1773"/>
      <c r="DTJ22" s="1773"/>
      <c r="DTK22" s="1773"/>
      <c r="DTL22" s="1773"/>
      <c r="DTM22" s="1773"/>
      <c r="DTN22" s="1773"/>
      <c r="DTO22" s="1773"/>
      <c r="DTP22" s="1773"/>
      <c r="DTQ22" s="1773"/>
      <c r="DTR22" s="1773"/>
      <c r="DTS22" s="1773"/>
      <c r="DTT22" s="1773"/>
      <c r="DTU22" s="1773"/>
      <c r="DTV22" s="1773"/>
      <c r="DTW22" s="1773"/>
      <c r="DTX22" s="1773"/>
      <c r="DTY22" s="1773"/>
      <c r="DTZ22" s="1773"/>
      <c r="DUA22" s="1773"/>
      <c r="DUB22" s="1773"/>
      <c r="DUC22" s="1773"/>
      <c r="DUD22" s="1773"/>
      <c r="DUE22" s="1773"/>
      <c r="DUF22" s="1773"/>
      <c r="DUG22" s="1773"/>
      <c r="DUH22" s="1773"/>
      <c r="DUI22" s="1773"/>
      <c r="DUJ22" s="1773"/>
      <c r="DUK22" s="1773"/>
      <c r="DUL22" s="1773"/>
      <c r="DUM22" s="1773"/>
      <c r="DUN22" s="1773"/>
      <c r="DUO22" s="1773"/>
      <c r="DUP22" s="1773"/>
      <c r="DUQ22" s="1773"/>
      <c r="DUR22" s="1773"/>
      <c r="DUS22" s="1773"/>
      <c r="DUT22" s="1773"/>
      <c r="DUU22" s="1773"/>
      <c r="DUV22" s="1773"/>
      <c r="DUW22" s="1773"/>
      <c r="DUX22" s="1773"/>
      <c r="DUY22" s="1773"/>
      <c r="DUZ22" s="1773"/>
      <c r="DVA22" s="1773"/>
      <c r="DVB22" s="1773"/>
      <c r="DVC22" s="1773"/>
      <c r="DVD22" s="1773"/>
      <c r="DVE22" s="1773"/>
      <c r="DVF22" s="1773"/>
      <c r="DVG22" s="1773"/>
      <c r="DVH22" s="1773"/>
      <c r="DVI22" s="1773"/>
      <c r="DVJ22" s="1773"/>
      <c r="DVK22" s="1773"/>
      <c r="DVL22" s="1773"/>
      <c r="DVM22" s="1773"/>
      <c r="DVN22" s="1773"/>
      <c r="DVO22" s="1773"/>
      <c r="DVP22" s="1773"/>
      <c r="DVQ22" s="1773"/>
      <c r="DVR22" s="1773"/>
      <c r="DVS22" s="1773"/>
      <c r="DVT22" s="1773"/>
      <c r="DVU22" s="1773"/>
      <c r="DVV22" s="1773"/>
      <c r="DVW22" s="1773"/>
      <c r="DVX22" s="1773"/>
      <c r="DVY22" s="1773"/>
      <c r="DVZ22" s="1773"/>
      <c r="DWA22" s="1773"/>
      <c r="DWB22" s="1773"/>
      <c r="DWC22" s="1773"/>
      <c r="DWD22" s="1773"/>
      <c r="DWE22" s="1773"/>
      <c r="DWF22" s="1773"/>
      <c r="DWG22" s="1773"/>
      <c r="DWH22" s="1773"/>
      <c r="DWI22" s="1773"/>
      <c r="DWJ22" s="1773"/>
      <c r="DWK22" s="1773"/>
      <c r="DWL22" s="1773"/>
      <c r="DWM22" s="1773"/>
      <c r="DWN22" s="1773"/>
      <c r="DWO22" s="1773"/>
      <c r="DWP22" s="1773"/>
      <c r="DWQ22" s="1773"/>
      <c r="DWR22" s="1773"/>
      <c r="DWS22" s="1773"/>
      <c r="DWT22" s="1773"/>
      <c r="DWU22" s="1773"/>
      <c r="DWV22" s="1773"/>
      <c r="DWW22" s="1773"/>
      <c r="DWX22" s="1773"/>
      <c r="DWY22" s="1773"/>
      <c r="DWZ22" s="1773"/>
      <c r="DXA22" s="1773"/>
      <c r="DXB22" s="1773"/>
      <c r="DXC22" s="1773"/>
      <c r="DXD22" s="1773"/>
      <c r="DXE22" s="1773"/>
      <c r="DXF22" s="1773"/>
      <c r="DXG22" s="1773"/>
      <c r="DXH22" s="1773"/>
      <c r="DXI22" s="1773"/>
      <c r="DXJ22" s="1773"/>
      <c r="DXK22" s="1773"/>
      <c r="DXL22" s="1773"/>
      <c r="DXM22" s="1773"/>
      <c r="DXN22" s="1773"/>
      <c r="DXO22" s="1773"/>
      <c r="DXP22" s="1773"/>
      <c r="DXQ22" s="1773"/>
      <c r="DXR22" s="1773"/>
      <c r="DXS22" s="1773"/>
      <c r="DXT22" s="1773"/>
      <c r="DXU22" s="1773"/>
      <c r="DXV22" s="1773"/>
      <c r="DXW22" s="1773"/>
      <c r="DXX22" s="1773"/>
      <c r="DXY22" s="1773"/>
      <c r="DXZ22" s="1773"/>
      <c r="DYA22" s="1773"/>
      <c r="DYB22" s="1773"/>
      <c r="DYC22" s="1773"/>
      <c r="DYD22" s="1773"/>
      <c r="DYE22" s="1773"/>
      <c r="DYF22" s="1773"/>
      <c r="DYG22" s="1773"/>
      <c r="DYH22" s="1773"/>
      <c r="DYI22" s="1773"/>
      <c r="DYJ22" s="1773"/>
      <c r="DYK22" s="1773"/>
      <c r="DYL22" s="1773"/>
      <c r="DYM22" s="1773"/>
      <c r="DYN22" s="1773"/>
      <c r="DYO22" s="1773"/>
      <c r="DYP22" s="1773"/>
      <c r="DYQ22" s="1773"/>
      <c r="DYR22" s="1773"/>
      <c r="DYS22" s="1773"/>
      <c r="DYT22" s="1773"/>
      <c r="DYU22" s="1773"/>
      <c r="DYV22" s="1773"/>
      <c r="DYW22" s="1773"/>
      <c r="DYX22" s="1773"/>
      <c r="DYY22" s="1773"/>
      <c r="DYZ22" s="1773"/>
      <c r="DZA22" s="1773"/>
      <c r="DZB22" s="1773"/>
      <c r="DZC22" s="1773"/>
      <c r="DZD22" s="1773"/>
      <c r="DZE22" s="1773"/>
      <c r="DZF22" s="1773"/>
      <c r="DZG22" s="1773"/>
      <c r="DZH22" s="1773"/>
      <c r="DZI22" s="1773"/>
      <c r="DZJ22" s="1773"/>
      <c r="DZK22" s="1773"/>
      <c r="DZL22" s="1773"/>
      <c r="DZM22" s="1773"/>
      <c r="DZN22" s="1773"/>
      <c r="DZO22" s="1773"/>
      <c r="DZP22" s="1773"/>
      <c r="DZQ22" s="1773"/>
      <c r="DZR22" s="1773"/>
      <c r="DZS22" s="1773"/>
      <c r="DZT22" s="1773"/>
      <c r="DZU22" s="1773"/>
      <c r="DZV22" s="1773"/>
      <c r="DZW22" s="1773"/>
      <c r="DZX22" s="1773"/>
      <c r="DZY22" s="1773"/>
      <c r="DZZ22" s="1773"/>
      <c r="EAA22" s="1773"/>
      <c r="EAB22" s="1773"/>
      <c r="EAC22" s="1773"/>
      <c r="EAD22" s="1773"/>
      <c r="EAE22" s="1773"/>
      <c r="EAF22" s="1773"/>
      <c r="EAG22" s="1773"/>
      <c r="EAH22" s="1773"/>
      <c r="EAI22" s="1773"/>
      <c r="EAJ22" s="1773"/>
      <c r="EAK22" s="1773"/>
      <c r="EAL22" s="1773"/>
      <c r="EAM22" s="1773"/>
      <c r="EAN22" s="1773"/>
      <c r="EAO22" s="1773"/>
      <c r="EAP22" s="1773"/>
      <c r="EAQ22" s="1773"/>
      <c r="EAR22" s="1773"/>
      <c r="EAS22" s="1773"/>
      <c r="EAT22" s="1773"/>
      <c r="EAU22" s="1773"/>
      <c r="EAV22" s="1773"/>
      <c r="EAW22" s="1773"/>
      <c r="EAX22" s="1773"/>
      <c r="EAY22" s="1773"/>
      <c r="EAZ22" s="1773"/>
      <c r="EBA22" s="1773"/>
      <c r="EBB22" s="1773"/>
      <c r="EBC22" s="1773"/>
      <c r="EBD22" s="1773"/>
      <c r="EBE22" s="1773"/>
      <c r="EBF22" s="1773"/>
      <c r="EBG22" s="1773"/>
      <c r="EBH22" s="1773"/>
      <c r="EBI22" s="1773"/>
      <c r="EBJ22" s="1773"/>
      <c r="EBK22" s="1773"/>
      <c r="EBL22" s="1773"/>
      <c r="EBM22" s="1773"/>
      <c r="EBN22" s="1773"/>
      <c r="EBO22" s="1773"/>
      <c r="EBP22" s="1773"/>
      <c r="EBQ22" s="1773"/>
      <c r="EBR22" s="1773"/>
      <c r="EBS22" s="1773"/>
      <c r="EBT22" s="1773"/>
      <c r="EBU22" s="1773"/>
      <c r="EBV22" s="1773"/>
      <c r="EBW22" s="1773"/>
      <c r="EBX22" s="1773"/>
      <c r="EBY22" s="1773"/>
      <c r="EBZ22" s="1773"/>
      <c r="ECA22" s="1773"/>
      <c r="ECB22" s="1773"/>
      <c r="ECC22" s="1773"/>
      <c r="ECD22" s="1773"/>
      <c r="ECE22" s="1773"/>
      <c r="ECF22" s="1773"/>
      <c r="ECG22" s="1773"/>
      <c r="ECH22" s="1773"/>
      <c r="ECI22" s="1773"/>
      <c r="ECJ22" s="1773"/>
      <c r="ECK22" s="1773"/>
      <c r="ECL22" s="1773"/>
      <c r="ECM22" s="1773"/>
      <c r="ECN22" s="1773"/>
      <c r="ECO22" s="1773"/>
      <c r="ECP22" s="1773"/>
      <c r="ECQ22" s="1773"/>
      <c r="ECR22" s="1773"/>
      <c r="ECS22" s="1773"/>
      <c r="ECT22" s="1773"/>
      <c r="ECU22" s="1773"/>
      <c r="ECV22" s="1773"/>
      <c r="ECW22" s="1773"/>
      <c r="ECX22" s="1773"/>
      <c r="ECY22" s="1773"/>
      <c r="ECZ22" s="1773"/>
      <c r="EDA22" s="1773"/>
      <c r="EDB22" s="1773"/>
      <c r="EDC22" s="1773"/>
      <c r="EDD22" s="1773"/>
      <c r="EDE22" s="1773"/>
      <c r="EDF22" s="1773"/>
      <c r="EDG22" s="1773"/>
      <c r="EDH22" s="1773"/>
      <c r="EDI22" s="1773"/>
      <c r="EDJ22" s="1773"/>
      <c r="EDK22" s="1773"/>
      <c r="EDL22" s="1773"/>
      <c r="EDM22" s="1773"/>
      <c r="EDN22" s="1773"/>
      <c r="EDO22" s="1773"/>
      <c r="EDP22" s="1773"/>
      <c r="EDQ22" s="1773"/>
      <c r="EDR22" s="1773"/>
      <c r="EDS22" s="1773"/>
      <c r="EDT22" s="1773"/>
      <c r="EDU22" s="1773"/>
      <c r="EDV22" s="1773"/>
      <c r="EDW22" s="1773"/>
      <c r="EDX22" s="1773"/>
      <c r="EDY22" s="1773"/>
      <c r="EDZ22" s="1773"/>
      <c r="EEA22" s="1773"/>
      <c r="EEB22" s="1773"/>
      <c r="EEC22" s="1773"/>
      <c r="EED22" s="1773"/>
      <c r="EEE22" s="1773"/>
      <c r="EEF22" s="1773"/>
      <c r="EEG22" s="1773"/>
      <c r="EEH22" s="1773"/>
      <c r="EEI22" s="1773"/>
      <c r="EEJ22" s="1773"/>
      <c r="EEK22" s="1773"/>
      <c r="EEL22" s="1773"/>
      <c r="EEM22" s="1773"/>
      <c r="EEN22" s="1773"/>
      <c r="EEO22" s="1773"/>
      <c r="EEP22" s="1773"/>
      <c r="EEQ22" s="1773"/>
      <c r="EER22" s="1773"/>
      <c r="EES22" s="1773"/>
      <c r="EET22" s="1773"/>
      <c r="EEU22" s="1773"/>
      <c r="EEV22" s="1773"/>
      <c r="EEW22" s="1773"/>
      <c r="EEX22" s="1773"/>
      <c r="EEY22" s="1773"/>
      <c r="EEZ22" s="1773"/>
      <c r="EFA22" s="1773"/>
      <c r="EFB22" s="1773"/>
      <c r="EFC22" s="1773"/>
      <c r="EFD22" s="1773"/>
      <c r="EFE22" s="1773"/>
      <c r="EFF22" s="1773"/>
      <c r="EFG22" s="1773"/>
      <c r="EFH22" s="1773"/>
      <c r="EFI22" s="1773"/>
      <c r="EFJ22" s="1773"/>
      <c r="EFK22" s="1773"/>
      <c r="EFL22" s="1773"/>
      <c r="EFM22" s="1773"/>
      <c r="EFN22" s="1773"/>
      <c r="EFO22" s="1773"/>
      <c r="EFP22" s="1773"/>
      <c r="EFQ22" s="1773"/>
      <c r="EFR22" s="1773"/>
      <c r="EFS22" s="1773"/>
      <c r="EFT22" s="1773"/>
      <c r="EFU22" s="1773"/>
      <c r="EFV22" s="1773"/>
      <c r="EFW22" s="1773"/>
      <c r="EFX22" s="1773"/>
      <c r="EFY22" s="1773"/>
      <c r="EFZ22" s="1773"/>
      <c r="EGA22" s="1773"/>
      <c r="EGB22" s="1773"/>
      <c r="EGC22" s="1773"/>
      <c r="EGD22" s="1773"/>
      <c r="EGE22" s="1773"/>
      <c r="EGF22" s="1773"/>
      <c r="EGG22" s="1773"/>
      <c r="EGH22" s="1773"/>
      <c r="EGI22" s="1773"/>
      <c r="EGJ22" s="1773"/>
      <c r="EGK22" s="1773"/>
      <c r="EGL22" s="1773"/>
      <c r="EGM22" s="1773"/>
      <c r="EGN22" s="1773"/>
      <c r="EGO22" s="1773"/>
      <c r="EGP22" s="1773"/>
      <c r="EGQ22" s="1773"/>
      <c r="EGR22" s="1773"/>
      <c r="EGS22" s="1773"/>
      <c r="EGT22" s="1773"/>
      <c r="EGU22" s="1773"/>
      <c r="EGV22" s="1773"/>
      <c r="EGW22" s="1773"/>
      <c r="EGX22" s="1773"/>
      <c r="EGY22" s="1773"/>
      <c r="EGZ22" s="1773"/>
      <c r="EHA22" s="1773"/>
      <c r="EHB22" s="1773"/>
      <c r="EHC22" s="1773"/>
      <c r="EHD22" s="1773"/>
      <c r="EHE22" s="1773"/>
      <c r="EHF22" s="1773"/>
      <c r="EHG22" s="1773"/>
      <c r="EHH22" s="1773"/>
      <c r="EHI22" s="1773"/>
      <c r="EHJ22" s="1773"/>
      <c r="EHK22" s="1773"/>
      <c r="EHL22" s="1773"/>
      <c r="EHM22" s="1773"/>
      <c r="EHN22" s="1773"/>
      <c r="EHO22" s="1773"/>
      <c r="EHP22" s="1773"/>
      <c r="EHQ22" s="1773"/>
      <c r="EHR22" s="1773"/>
      <c r="EHS22" s="1773"/>
      <c r="EHT22" s="1773"/>
      <c r="EHU22" s="1773"/>
      <c r="EHV22" s="1773"/>
      <c r="EHW22" s="1773"/>
      <c r="EHX22" s="1773"/>
      <c r="EHY22" s="1773"/>
      <c r="EHZ22" s="1773"/>
      <c r="EIA22" s="1773"/>
      <c r="EIB22" s="1773"/>
      <c r="EIC22" s="1773"/>
      <c r="EID22" s="1773"/>
      <c r="EIE22" s="1773"/>
      <c r="EIF22" s="1773"/>
      <c r="EIG22" s="1773"/>
      <c r="EIH22" s="1773"/>
      <c r="EII22" s="1773"/>
      <c r="EIJ22" s="1773"/>
      <c r="EIK22" s="1773"/>
      <c r="EIL22" s="1773"/>
      <c r="EIM22" s="1773"/>
      <c r="EIN22" s="1773"/>
      <c r="EIO22" s="1773"/>
      <c r="EIP22" s="1773"/>
      <c r="EIQ22" s="1773"/>
      <c r="EIR22" s="1773"/>
      <c r="EIS22" s="1773"/>
      <c r="EIT22" s="1773"/>
      <c r="EIU22" s="1773"/>
      <c r="EIV22" s="1773"/>
      <c r="EIW22" s="1773"/>
      <c r="EIX22" s="1773"/>
      <c r="EIY22" s="1773"/>
      <c r="EIZ22" s="1773"/>
      <c r="EJA22" s="1773"/>
      <c r="EJB22" s="1773"/>
      <c r="EJC22" s="1773"/>
      <c r="EJD22" s="1773"/>
      <c r="EJE22" s="1773"/>
      <c r="EJF22" s="1773"/>
      <c r="EJG22" s="1773"/>
      <c r="EJH22" s="1773"/>
      <c r="EJI22" s="1773"/>
      <c r="EJJ22" s="1773"/>
      <c r="EJK22" s="1773"/>
      <c r="EJL22" s="1773"/>
      <c r="EJM22" s="1773"/>
      <c r="EJN22" s="1773"/>
      <c r="EJO22" s="1773"/>
      <c r="EJP22" s="1773"/>
      <c r="EJQ22" s="1773"/>
      <c r="EJR22" s="1773"/>
      <c r="EJS22" s="1773"/>
      <c r="EJT22" s="1773"/>
      <c r="EJU22" s="1773"/>
      <c r="EJV22" s="1773"/>
      <c r="EJW22" s="1773"/>
      <c r="EJX22" s="1773"/>
      <c r="EJY22" s="1773"/>
      <c r="EJZ22" s="1773"/>
      <c r="EKA22" s="1773"/>
      <c r="EKB22" s="1773"/>
      <c r="EKC22" s="1773"/>
      <c r="EKD22" s="1773"/>
      <c r="EKE22" s="1773"/>
      <c r="EKF22" s="1773"/>
      <c r="EKG22" s="1773"/>
      <c r="EKH22" s="1773"/>
      <c r="EKI22" s="1773"/>
      <c r="EKJ22" s="1773"/>
      <c r="EKK22" s="1773"/>
      <c r="EKL22" s="1773"/>
      <c r="EKM22" s="1773"/>
      <c r="EKN22" s="1773"/>
      <c r="EKO22" s="1773"/>
      <c r="EKP22" s="1773"/>
      <c r="EKQ22" s="1773"/>
      <c r="EKR22" s="1773"/>
      <c r="EKS22" s="1773"/>
      <c r="EKT22" s="1773"/>
      <c r="EKU22" s="1773"/>
      <c r="EKV22" s="1773"/>
      <c r="EKW22" s="1773"/>
      <c r="EKX22" s="1773"/>
      <c r="EKY22" s="1773"/>
      <c r="EKZ22" s="1773"/>
      <c r="ELA22" s="1773"/>
      <c r="ELB22" s="1773"/>
      <c r="ELC22" s="1773"/>
      <c r="ELD22" s="1773"/>
      <c r="ELE22" s="1773"/>
      <c r="ELF22" s="1773"/>
      <c r="ELG22" s="1773"/>
      <c r="ELH22" s="1773"/>
      <c r="ELI22" s="1773"/>
      <c r="ELJ22" s="1773"/>
      <c r="ELK22" s="1773"/>
      <c r="ELL22" s="1773"/>
      <c r="ELM22" s="1773"/>
      <c r="ELN22" s="1773"/>
      <c r="ELO22" s="1773"/>
      <c r="ELP22" s="1773"/>
      <c r="ELQ22" s="1773"/>
      <c r="ELR22" s="1773"/>
      <c r="ELS22" s="1773"/>
      <c r="ELT22" s="1773"/>
      <c r="ELU22" s="1773"/>
      <c r="ELV22" s="1773"/>
      <c r="ELW22" s="1773"/>
      <c r="ELX22" s="1773"/>
      <c r="ELY22" s="1773"/>
      <c r="ELZ22" s="1773"/>
      <c r="EMA22" s="1773"/>
      <c r="EMB22" s="1773"/>
      <c r="EMC22" s="1773"/>
      <c r="EMD22" s="1773"/>
      <c r="EME22" s="1773"/>
      <c r="EMF22" s="1773"/>
      <c r="EMG22" s="1773"/>
      <c r="EMH22" s="1773"/>
      <c r="EMI22" s="1773"/>
      <c r="EMJ22" s="1773"/>
      <c r="EMK22" s="1773"/>
      <c r="EML22" s="1773"/>
      <c r="EMM22" s="1773"/>
      <c r="EMN22" s="1773"/>
      <c r="EMO22" s="1773"/>
      <c r="EMP22" s="1773"/>
      <c r="EMQ22" s="1773"/>
      <c r="EMR22" s="1773"/>
      <c r="EMS22" s="1773"/>
      <c r="EMT22" s="1773"/>
      <c r="EMU22" s="1773"/>
      <c r="EMV22" s="1773"/>
      <c r="EMW22" s="1773"/>
      <c r="EMX22" s="1773"/>
      <c r="EMY22" s="1773"/>
      <c r="EMZ22" s="1773"/>
      <c r="ENA22" s="1773"/>
      <c r="ENB22" s="1773"/>
      <c r="ENC22" s="1773"/>
      <c r="END22" s="1773"/>
      <c r="ENE22" s="1773"/>
      <c r="ENF22" s="1773"/>
      <c r="ENG22" s="1773"/>
      <c r="ENH22" s="1773"/>
      <c r="ENI22" s="1773"/>
      <c r="ENJ22" s="1773"/>
      <c r="ENK22" s="1773"/>
      <c r="ENL22" s="1773"/>
      <c r="ENM22" s="1773"/>
      <c r="ENN22" s="1773"/>
      <c r="ENO22" s="1773"/>
      <c r="ENP22" s="1773"/>
      <c r="ENQ22" s="1773"/>
      <c r="ENR22" s="1773"/>
      <c r="ENS22" s="1773"/>
      <c r="ENT22" s="1773"/>
      <c r="ENU22" s="1773"/>
      <c r="ENV22" s="1773"/>
      <c r="ENW22" s="1773"/>
      <c r="ENX22" s="1773"/>
      <c r="ENY22" s="1773"/>
      <c r="ENZ22" s="1773"/>
      <c r="EOA22" s="1773"/>
      <c r="EOB22" s="1773"/>
      <c r="EOC22" s="1773"/>
      <c r="EOD22" s="1773"/>
      <c r="EOE22" s="1773"/>
      <c r="EOF22" s="1773"/>
      <c r="EOG22" s="1773"/>
      <c r="EOH22" s="1773"/>
      <c r="EOI22" s="1773"/>
      <c r="EOJ22" s="1773"/>
      <c r="EOK22" s="1773"/>
      <c r="EOL22" s="1773"/>
      <c r="EOM22" s="1773"/>
      <c r="EON22" s="1773"/>
      <c r="EOO22" s="1773"/>
      <c r="EOP22" s="1773"/>
      <c r="EOQ22" s="1773"/>
      <c r="EOR22" s="1773"/>
      <c r="EOS22" s="1773"/>
      <c r="EOT22" s="1773"/>
      <c r="EOU22" s="1773"/>
      <c r="EOV22" s="1773"/>
      <c r="EOW22" s="1773"/>
      <c r="EOX22" s="1773"/>
      <c r="EOY22" s="1773"/>
      <c r="EOZ22" s="1773"/>
      <c r="EPA22" s="1773"/>
      <c r="EPB22" s="1773"/>
      <c r="EPC22" s="1773"/>
      <c r="EPD22" s="1773"/>
      <c r="EPE22" s="1773"/>
      <c r="EPF22" s="1773"/>
      <c r="EPG22" s="1773"/>
      <c r="EPH22" s="1773"/>
      <c r="EPI22" s="1773"/>
      <c r="EPJ22" s="1773"/>
      <c r="EPK22" s="1773"/>
      <c r="EPL22" s="1773"/>
      <c r="EPM22" s="1773"/>
      <c r="EPN22" s="1773"/>
      <c r="EPO22" s="1773"/>
      <c r="EPP22" s="1773"/>
      <c r="EPQ22" s="1773"/>
      <c r="EPR22" s="1773"/>
      <c r="EPS22" s="1773"/>
      <c r="EPT22" s="1773"/>
      <c r="EPU22" s="1773"/>
      <c r="EPV22" s="1773"/>
      <c r="EPW22" s="1773"/>
      <c r="EPX22" s="1773"/>
      <c r="EPY22" s="1773"/>
      <c r="EPZ22" s="1773"/>
      <c r="EQA22" s="1773"/>
      <c r="EQB22" s="1773"/>
      <c r="EQC22" s="1773"/>
      <c r="EQD22" s="1773"/>
      <c r="EQE22" s="1773"/>
      <c r="EQF22" s="1773"/>
      <c r="EQG22" s="1773"/>
      <c r="EQH22" s="1773"/>
      <c r="EQI22" s="1773"/>
      <c r="EQJ22" s="1773"/>
      <c r="EQK22" s="1773"/>
      <c r="EQL22" s="1773"/>
      <c r="EQM22" s="1773"/>
      <c r="EQN22" s="1773"/>
      <c r="EQO22" s="1773"/>
      <c r="EQP22" s="1773"/>
      <c r="EQQ22" s="1773"/>
      <c r="EQR22" s="1773"/>
      <c r="EQS22" s="1773"/>
      <c r="EQT22" s="1773"/>
      <c r="EQU22" s="1773"/>
      <c r="EQV22" s="1773"/>
      <c r="EQW22" s="1773"/>
      <c r="EQX22" s="1773"/>
      <c r="EQY22" s="1773"/>
      <c r="EQZ22" s="1773"/>
      <c r="ERA22" s="1773"/>
      <c r="ERB22" s="1773"/>
      <c r="ERC22" s="1773"/>
      <c r="ERD22" s="1773"/>
      <c r="ERE22" s="1773"/>
      <c r="ERF22" s="1773"/>
      <c r="ERG22" s="1773"/>
      <c r="ERH22" s="1773"/>
      <c r="ERI22" s="1773"/>
      <c r="ERJ22" s="1773"/>
      <c r="ERK22" s="1773"/>
      <c r="ERL22" s="1773"/>
      <c r="ERM22" s="1773"/>
      <c r="ERN22" s="1773"/>
      <c r="ERO22" s="1773"/>
      <c r="ERP22" s="1773"/>
      <c r="ERQ22" s="1773"/>
      <c r="ERR22" s="1773"/>
      <c r="ERS22" s="1773"/>
      <c r="ERT22" s="1773"/>
      <c r="ERU22" s="1773"/>
      <c r="ERV22" s="1773"/>
      <c r="ERW22" s="1773"/>
      <c r="ERX22" s="1773"/>
      <c r="ERY22" s="1773"/>
      <c r="ERZ22" s="1773"/>
      <c r="ESA22" s="1773"/>
      <c r="ESB22" s="1773"/>
      <c r="ESC22" s="1773"/>
      <c r="ESD22" s="1773"/>
      <c r="ESE22" s="1773"/>
      <c r="ESF22" s="1773"/>
      <c r="ESG22" s="1773"/>
      <c r="ESH22" s="1773"/>
      <c r="ESI22" s="1773"/>
      <c r="ESJ22" s="1773"/>
      <c r="ESK22" s="1773"/>
      <c r="ESL22" s="1773"/>
      <c r="ESM22" s="1773"/>
      <c r="ESN22" s="1773"/>
      <c r="ESO22" s="1773"/>
      <c r="ESP22" s="1773"/>
      <c r="ESQ22" s="1773"/>
      <c r="ESR22" s="1773"/>
      <c r="ESS22" s="1773"/>
      <c r="EST22" s="1773"/>
      <c r="ESU22" s="1773"/>
      <c r="ESV22" s="1773"/>
      <c r="ESW22" s="1773"/>
      <c r="ESX22" s="1773"/>
      <c r="ESY22" s="1773"/>
      <c r="ESZ22" s="1773"/>
      <c r="ETA22" s="1773"/>
      <c r="ETB22" s="1773"/>
      <c r="ETC22" s="1773"/>
      <c r="ETD22" s="1773"/>
      <c r="ETE22" s="1773"/>
      <c r="ETF22" s="1773"/>
      <c r="ETG22" s="1773"/>
      <c r="ETH22" s="1773"/>
      <c r="ETI22" s="1773"/>
      <c r="ETJ22" s="1773"/>
      <c r="ETK22" s="1773"/>
      <c r="ETL22" s="1773"/>
      <c r="ETM22" s="1773"/>
      <c r="ETN22" s="1773"/>
      <c r="ETO22" s="1773"/>
      <c r="ETP22" s="1773"/>
      <c r="ETQ22" s="1773"/>
      <c r="ETR22" s="1773"/>
      <c r="ETS22" s="1773"/>
      <c r="ETT22" s="1773"/>
      <c r="ETU22" s="1773"/>
      <c r="ETV22" s="1773"/>
      <c r="ETW22" s="1773"/>
      <c r="ETX22" s="1773"/>
      <c r="ETY22" s="1773"/>
      <c r="ETZ22" s="1773"/>
      <c r="EUA22" s="1773"/>
      <c r="EUB22" s="1773"/>
      <c r="EUC22" s="1773"/>
      <c r="EUD22" s="1773"/>
      <c r="EUE22" s="1773"/>
      <c r="EUF22" s="1773"/>
      <c r="EUG22" s="1773"/>
      <c r="EUH22" s="1773"/>
      <c r="EUI22" s="1773"/>
      <c r="EUJ22" s="1773"/>
      <c r="EUK22" s="1773"/>
      <c r="EUL22" s="1773"/>
      <c r="EUM22" s="1773"/>
      <c r="EUN22" s="1773"/>
      <c r="EUO22" s="1773"/>
      <c r="EUP22" s="1773"/>
      <c r="EUQ22" s="1773"/>
      <c r="EUR22" s="1773"/>
      <c r="EUS22" s="1773"/>
      <c r="EUT22" s="1773"/>
      <c r="EUU22" s="1773"/>
      <c r="EUV22" s="1773"/>
      <c r="EUW22" s="1773"/>
      <c r="EUX22" s="1773"/>
      <c r="EUY22" s="1773"/>
      <c r="EUZ22" s="1773"/>
      <c r="EVA22" s="1773"/>
      <c r="EVB22" s="1773"/>
      <c r="EVC22" s="1773"/>
      <c r="EVD22" s="1773"/>
      <c r="EVE22" s="1773"/>
      <c r="EVF22" s="1773"/>
      <c r="EVG22" s="1773"/>
      <c r="EVH22" s="1773"/>
      <c r="EVI22" s="1773"/>
      <c r="EVJ22" s="1773"/>
      <c r="EVK22" s="1773"/>
      <c r="EVL22" s="1773"/>
      <c r="EVM22" s="1773"/>
      <c r="EVN22" s="1773"/>
      <c r="EVO22" s="1773"/>
      <c r="EVP22" s="1773"/>
      <c r="EVQ22" s="1773"/>
      <c r="EVR22" s="1773"/>
      <c r="EVS22" s="1773"/>
      <c r="EVT22" s="1773"/>
      <c r="EVU22" s="1773"/>
      <c r="EVV22" s="1773"/>
      <c r="EVW22" s="1773"/>
      <c r="EVX22" s="1773"/>
      <c r="EVY22" s="1773"/>
      <c r="EVZ22" s="1773"/>
      <c r="EWA22" s="1773"/>
      <c r="EWB22" s="1773"/>
      <c r="EWC22" s="1773"/>
      <c r="EWD22" s="1773"/>
      <c r="EWE22" s="1773"/>
      <c r="EWF22" s="1773"/>
      <c r="EWG22" s="1773"/>
      <c r="EWH22" s="1773"/>
      <c r="EWI22" s="1773"/>
      <c r="EWJ22" s="1773"/>
      <c r="EWK22" s="1773"/>
      <c r="EWL22" s="1773"/>
      <c r="EWM22" s="1773"/>
      <c r="EWN22" s="1773"/>
      <c r="EWO22" s="1773"/>
      <c r="EWP22" s="1773"/>
      <c r="EWQ22" s="1773"/>
      <c r="EWR22" s="1773"/>
      <c r="EWS22" s="1773"/>
      <c r="EWT22" s="1773"/>
      <c r="EWU22" s="1773"/>
      <c r="EWV22" s="1773"/>
      <c r="EWW22" s="1773"/>
      <c r="EWX22" s="1773"/>
      <c r="EWY22" s="1773"/>
      <c r="EWZ22" s="1773"/>
      <c r="EXA22" s="1773"/>
      <c r="EXB22" s="1773"/>
      <c r="EXC22" s="1773"/>
      <c r="EXD22" s="1773"/>
      <c r="EXE22" s="1773"/>
      <c r="EXF22" s="1773"/>
      <c r="EXG22" s="1773"/>
      <c r="EXH22" s="1773"/>
      <c r="EXI22" s="1773"/>
      <c r="EXJ22" s="1773"/>
      <c r="EXK22" s="1773"/>
      <c r="EXL22" s="1773"/>
      <c r="EXM22" s="1773"/>
      <c r="EXN22" s="1773"/>
      <c r="EXO22" s="1773"/>
      <c r="EXP22" s="1773"/>
      <c r="EXQ22" s="1773"/>
      <c r="EXR22" s="1773"/>
      <c r="EXS22" s="1773"/>
      <c r="EXT22" s="1773"/>
      <c r="EXU22" s="1773"/>
      <c r="EXV22" s="1773"/>
      <c r="EXW22" s="1773"/>
      <c r="EXX22" s="1773"/>
      <c r="EXY22" s="1773"/>
      <c r="EXZ22" s="1773"/>
      <c r="EYA22" s="1773"/>
      <c r="EYB22" s="1773"/>
      <c r="EYC22" s="1773"/>
      <c r="EYD22" s="1773"/>
      <c r="EYE22" s="1773"/>
      <c r="EYF22" s="1773"/>
      <c r="EYG22" s="1773"/>
      <c r="EYH22" s="1773"/>
      <c r="EYI22" s="1773"/>
      <c r="EYJ22" s="1773"/>
      <c r="EYK22" s="1773"/>
      <c r="EYL22" s="1773"/>
      <c r="EYM22" s="1773"/>
      <c r="EYN22" s="1773"/>
      <c r="EYO22" s="1773"/>
      <c r="EYP22" s="1773"/>
      <c r="EYQ22" s="1773"/>
      <c r="EYR22" s="1773"/>
      <c r="EYS22" s="1773"/>
      <c r="EYT22" s="1773"/>
      <c r="EYU22" s="1773"/>
      <c r="EYV22" s="1773"/>
      <c r="EYW22" s="1773"/>
      <c r="EYX22" s="1773"/>
      <c r="EYY22" s="1773"/>
      <c r="EYZ22" s="1773"/>
      <c r="EZA22" s="1773"/>
      <c r="EZB22" s="1773"/>
      <c r="EZC22" s="1773"/>
      <c r="EZD22" s="1773"/>
      <c r="EZE22" s="1773"/>
      <c r="EZF22" s="1773"/>
      <c r="EZG22" s="1773"/>
      <c r="EZH22" s="1773"/>
      <c r="EZI22" s="1773"/>
      <c r="EZJ22" s="1773"/>
      <c r="EZK22" s="1773"/>
      <c r="EZL22" s="1773"/>
      <c r="EZM22" s="1773"/>
      <c r="EZN22" s="1773"/>
      <c r="EZO22" s="1773"/>
      <c r="EZP22" s="1773"/>
      <c r="EZQ22" s="1773"/>
      <c r="EZR22" s="1773"/>
      <c r="EZS22" s="1773"/>
      <c r="EZT22" s="1773"/>
      <c r="EZU22" s="1773"/>
      <c r="EZV22" s="1773"/>
      <c r="EZW22" s="1773"/>
      <c r="EZX22" s="1773"/>
      <c r="EZY22" s="1773"/>
      <c r="EZZ22" s="1773"/>
      <c r="FAA22" s="1773"/>
      <c r="FAB22" s="1773"/>
      <c r="FAC22" s="1773"/>
      <c r="FAD22" s="1773"/>
      <c r="FAE22" s="1773"/>
      <c r="FAF22" s="1773"/>
      <c r="FAG22" s="1773"/>
      <c r="FAH22" s="1773"/>
      <c r="FAI22" s="1773"/>
      <c r="FAJ22" s="1773"/>
      <c r="FAK22" s="1773"/>
      <c r="FAL22" s="1773"/>
      <c r="FAM22" s="1773"/>
      <c r="FAN22" s="1773"/>
      <c r="FAO22" s="1773"/>
      <c r="FAP22" s="1773"/>
      <c r="FAQ22" s="1773"/>
      <c r="FAR22" s="1773"/>
      <c r="FAS22" s="1773"/>
      <c r="FAT22" s="1773"/>
      <c r="FAU22" s="1773"/>
      <c r="FAV22" s="1773"/>
      <c r="FAW22" s="1773"/>
      <c r="FAX22" s="1773"/>
      <c r="FAY22" s="1773"/>
      <c r="FAZ22" s="1773"/>
      <c r="FBA22" s="1773"/>
      <c r="FBB22" s="1773"/>
      <c r="FBC22" s="1773"/>
      <c r="FBD22" s="1773"/>
      <c r="FBE22" s="1773"/>
      <c r="FBF22" s="1773"/>
      <c r="FBG22" s="1773"/>
      <c r="FBH22" s="1773"/>
      <c r="FBI22" s="1773"/>
      <c r="FBJ22" s="1773"/>
      <c r="FBK22" s="1773"/>
      <c r="FBL22" s="1773"/>
      <c r="FBM22" s="1773"/>
      <c r="FBN22" s="1773"/>
      <c r="FBO22" s="1773"/>
      <c r="FBP22" s="1773"/>
      <c r="FBQ22" s="1773"/>
      <c r="FBR22" s="1773"/>
      <c r="FBS22" s="1773"/>
      <c r="FBT22" s="1773"/>
      <c r="FBU22" s="1773"/>
      <c r="FBV22" s="1773"/>
      <c r="FBW22" s="1773"/>
      <c r="FBX22" s="1773"/>
      <c r="FBY22" s="1773"/>
      <c r="FBZ22" s="1773"/>
      <c r="FCA22" s="1773"/>
      <c r="FCB22" s="1773"/>
      <c r="FCC22" s="1773"/>
      <c r="FCD22" s="1773"/>
      <c r="FCE22" s="1773"/>
      <c r="FCF22" s="1773"/>
      <c r="FCG22" s="1773"/>
      <c r="FCH22" s="1773"/>
      <c r="FCI22" s="1773"/>
      <c r="FCJ22" s="1773"/>
      <c r="FCK22" s="1773"/>
      <c r="FCL22" s="1773"/>
      <c r="FCM22" s="1773"/>
      <c r="FCN22" s="1773"/>
      <c r="FCO22" s="1773"/>
      <c r="FCP22" s="1773"/>
      <c r="FCQ22" s="1773"/>
      <c r="FCR22" s="1773"/>
      <c r="FCS22" s="1773"/>
      <c r="FCT22" s="1773"/>
      <c r="FCU22" s="1773"/>
      <c r="FCV22" s="1773"/>
      <c r="FCW22" s="1773"/>
      <c r="FCX22" s="1773"/>
      <c r="FCY22" s="1773"/>
      <c r="FCZ22" s="1773"/>
      <c r="FDA22" s="1773"/>
      <c r="FDB22" s="1773"/>
      <c r="FDC22" s="1773"/>
      <c r="FDD22" s="1773"/>
      <c r="FDE22" s="1773"/>
      <c r="FDF22" s="1773"/>
      <c r="FDG22" s="1773"/>
      <c r="FDH22" s="1773"/>
      <c r="FDI22" s="1773"/>
      <c r="FDJ22" s="1773"/>
      <c r="FDK22" s="1773"/>
      <c r="FDL22" s="1773"/>
      <c r="FDM22" s="1773"/>
      <c r="FDN22" s="1773"/>
      <c r="FDO22" s="1773"/>
      <c r="FDP22" s="1773"/>
      <c r="FDQ22" s="1773"/>
      <c r="FDR22" s="1773"/>
      <c r="FDS22" s="1773"/>
      <c r="FDT22" s="1773"/>
      <c r="FDU22" s="1773"/>
      <c r="FDV22" s="1773"/>
      <c r="FDW22" s="1773"/>
      <c r="FDX22" s="1773"/>
      <c r="FDY22" s="1773"/>
      <c r="FDZ22" s="1773"/>
      <c r="FEA22" s="1773"/>
      <c r="FEB22" s="1773"/>
      <c r="FEC22" s="1773"/>
      <c r="FED22" s="1773"/>
      <c r="FEE22" s="1773"/>
      <c r="FEF22" s="1773"/>
      <c r="FEG22" s="1773"/>
      <c r="FEH22" s="1773"/>
      <c r="FEI22" s="1773"/>
      <c r="FEJ22" s="1773"/>
      <c r="FEK22" s="1773"/>
      <c r="FEL22" s="1773"/>
      <c r="FEM22" s="1773"/>
      <c r="FEN22" s="1773"/>
      <c r="FEO22" s="1773"/>
      <c r="FEP22" s="1773"/>
      <c r="FEQ22" s="1773"/>
      <c r="FER22" s="1773"/>
      <c r="FES22" s="1773"/>
      <c r="FET22" s="1773"/>
      <c r="FEU22" s="1773"/>
      <c r="FEV22" s="1773"/>
      <c r="FEW22" s="1773"/>
      <c r="FEX22" s="1773"/>
      <c r="FEY22" s="1773"/>
      <c r="FEZ22" s="1773"/>
      <c r="FFA22" s="1773"/>
      <c r="FFB22" s="1773"/>
      <c r="FFC22" s="1773"/>
      <c r="FFD22" s="1773"/>
      <c r="FFE22" s="1773"/>
      <c r="FFF22" s="1773"/>
      <c r="FFG22" s="1773"/>
      <c r="FFH22" s="1773"/>
      <c r="FFI22" s="1773"/>
      <c r="FFJ22" s="1773"/>
      <c r="FFK22" s="1773"/>
      <c r="FFL22" s="1773"/>
      <c r="FFM22" s="1773"/>
      <c r="FFN22" s="1773"/>
      <c r="FFO22" s="1773"/>
      <c r="FFP22" s="1773"/>
      <c r="FFQ22" s="1773"/>
      <c r="FFR22" s="1773"/>
      <c r="FFS22" s="1773"/>
      <c r="FFT22" s="1773"/>
      <c r="FFU22" s="1773"/>
      <c r="FFV22" s="1773"/>
      <c r="FFW22" s="1773"/>
      <c r="FFX22" s="1773"/>
      <c r="FFY22" s="1773"/>
      <c r="FFZ22" s="1773"/>
      <c r="FGA22" s="1773"/>
      <c r="FGB22" s="1773"/>
      <c r="FGC22" s="1773"/>
      <c r="FGD22" s="1773"/>
      <c r="FGE22" s="1773"/>
      <c r="FGF22" s="1773"/>
      <c r="FGG22" s="1773"/>
      <c r="FGH22" s="1773"/>
      <c r="FGI22" s="1773"/>
      <c r="FGJ22" s="1773"/>
      <c r="FGK22" s="1773"/>
      <c r="FGL22" s="1773"/>
      <c r="FGM22" s="1773"/>
      <c r="FGN22" s="1773"/>
      <c r="FGO22" s="1773"/>
      <c r="FGP22" s="1773"/>
      <c r="FGQ22" s="1773"/>
      <c r="FGR22" s="1773"/>
      <c r="FGS22" s="1773"/>
      <c r="FGT22" s="1773"/>
      <c r="FGU22" s="1773"/>
      <c r="FGV22" s="1773"/>
      <c r="FGW22" s="1773"/>
      <c r="FGX22" s="1773"/>
      <c r="FGY22" s="1773"/>
      <c r="FGZ22" s="1773"/>
      <c r="FHA22" s="1773"/>
      <c r="FHB22" s="1773"/>
      <c r="FHC22" s="1773"/>
      <c r="FHD22" s="1773"/>
      <c r="FHE22" s="1773"/>
      <c r="FHF22" s="1773"/>
      <c r="FHG22" s="1773"/>
      <c r="FHH22" s="1773"/>
      <c r="FHI22" s="1773"/>
      <c r="FHJ22" s="1773"/>
      <c r="FHK22" s="1773"/>
      <c r="FHL22" s="1773"/>
      <c r="FHM22" s="1773"/>
      <c r="FHN22" s="1773"/>
      <c r="FHO22" s="1773"/>
      <c r="FHP22" s="1773"/>
      <c r="FHQ22" s="1773"/>
      <c r="FHR22" s="1773"/>
      <c r="FHS22" s="1773"/>
      <c r="FHT22" s="1773"/>
      <c r="FHU22" s="1773"/>
      <c r="FHV22" s="1773"/>
      <c r="FHW22" s="1773"/>
      <c r="FHX22" s="1773"/>
      <c r="FHY22" s="1773"/>
      <c r="FHZ22" s="1773"/>
      <c r="FIA22" s="1773"/>
      <c r="FIB22" s="1773"/>
      <c r="FIC22" s="1773"/>
      <c r="FID22" s="1773"/>
      <c r="FIE22" s="1773"/>
      <c r="FIF22" s="1773"/>
      <c r="FIG22" s="1773"/>
      <c r="FIH22" s="1773"/>
      <c r="FII22" s="1773"/>
      <c r="FIJ22" s="1773"/>
      <c r="FIK22" s="1773"/>
      <c r="FIL22" s="1773"/>
      <c r="FIM22" s="1773"/>
      <c r="FIN22" s="1773"/>
      <c r="FIO22" s="1773"/>
      <c r="FIP22" s="1773"/>
      <c r="FIQ22" s="1773"/>
      <c r="FIR22" s="1773"/>
      <c r="FIS22" s="1773"/>
      <c r="FIT22" s="1773"/>
      <c r="FIU22" s="1773"/>
      <c r="FIV22" s="1773"/>
      <c r="FIW22" s="1773"/>
      <c r="FIX22" s="1773"/>
      <c r="FIY22" s="1773"/>
      <c r="FIZ22" s="1773"/>
      <c r="FJA22" s="1773"/>
      <c r="FJB22" s="1773"/>
      <c r="FJC22" s="1773"/>
      <c r="FJD22" s="1773"/>
      <c r="FJE22" s="1773"/>
      <c r="FJF22" s="1773"/>
      <c r="FJG22" s="1773"/>
      <c r="FJH22" s="1773"/>
      <c r="FJI22" s="1773"/>
      <c r="FJJ22" s="1773"/>
      <c r="FJK22" s="1773"/>
      <c r="FJL22" s="1773"/>
      <c r="FJM22" s="1773"/>
      <c r="FJN22" s="1773"/>
      <c r="FJO22" s="1773"/>
      <c r="FJP22" s="1773"/>
      <c r="FJQ22" s="1773"/>
      <c r="FJR22" s="1773"/>
      <c r="FJS22" s="1773"/>
      <c r="FJT22" s="1773"/>
      <c r="FJU22" s="1773"/>
      <c r="FJV22" s="1773"/>
      <c r="FJW22" s="1773"/>
      <c r="FJX22" s="1773"/>
      <c r="FJY22" s="1773"/>
      <c r="FJZ22" s="1773"/>
      <c r="FKA22" s="1773"/>
      <c r="FKB22" s="1773"/>
      <c r="FKC22" s="1773"/>
      <c r="FKD22" s="1773"/>
      <c r="FKE22" s="1773"/>
      <c r="FKF22" s="1773"/>
      <c r="FKG22" s="1773"/>
      <c r="FKH22" s="1773"/>
      <c r="FKI22" s="1773"/>
      <c r="FKJ22" s="1773"/>
      <c r="FKK22" s="1773"/>
      <c r="FKL22" s="1773"/>
      <c r="FKM22" s="1773"/>
      <c r="FKN22" s="1773"/>
      <c r="FKO22" s="1773"/>
      <c r="FKP22" s="1773"/>
      <c r="FKQ22" s="1773"/>
      <c r="FKR22" s="1773"/>
      <c r="FKS22" s="1773"/>
      <c r="FKT22" s="1773"/>
      <c r="FKU22" s="1773"/>
      <c r="FKV22" s="1773"/>
      <c r="FKW22" s="1773"/>
      <c r="FKX22" s="1773"/>
      <c r="FKY22" s="1773"/>
      <c r="FKZ22" s="1773"/>
      <c r="FLA22" s="1773"/>
      <c r="FLB22" s="1773"/>
      <c r="FLC22" s="1773"/>
      <c r="FLD22" s="1773"/>
      <c r="FLE22" s="1773"/>
      <c r="FLF22" s="1773"/>
      <c r="FLG22" s="1773"/>
      <c r="FLH22" s="1773"/>
      <c r="FLI22" s="1773"/>
      <c r="FLJ22" s="1773"/>
      <c r="FLK22" s="1773"/>
      <c r="FLL22" s="1773"/>
      <c r="FLM22" s="1773"/>
      <c r="FLN22" s="1773"/>
      <c r="FLO22" s="1773"/>
      <c r="FLP22" s="1773"/>
      <c r="FLQ22" s="1773"/>
      <c r="FLR22" s="1773"/>
      <c r="FLS22" s="1773"/>
      <c r="FLT22" s="1773"/>
      <c r="FLU22" s="1773"/>
      <c r="FLV22" s="1773"/>
      <c r="FLW22" s="1773"/>
      <c r="FLX22" s="1773"/>
      <c r="FLY22" s="1773"/>
      <c r="FLZ22" s="1773"/>
      <c r="FMA22" s="1773"/>
      <c r="FMB22" s="1773"/>
      <c r="FMC22" s="1773"/>
      <c r="FMD22" s="1773"/>
      <c r="FME22" s="1773"/>
      <c r="FMF22" s="1773"/>
      <c r="FMG22" s="1773"/>
      <c r="FMH22" s="1773"/>
      <c r="FMI22" s="1773"/>
      <c r="FMJ22" s="1773"/>
      <c r="FMK22" s="1773"/>
      <c r="FML22" s="1773"/>
      <c r="FMM22" s="1773"/>
      <c r="FMN22" s="1773"/>
      <c r="FMO22" s="1773"/>
      <c r="FMP22" s="1773"/>
      <c r="FMQ22" s="1773"/>
      <c r="FMR22" s="1773"/>
      <c r="FMS22" s="1773"/>
      <c r="FMT22" s="1773"/>
      <c r="FMU22" s="1773"/>
      <c r="FMV22" s="1773"/>
      <c r="FMW22" s="1773"/>
      <c r="FMX22" s="1773"/>
      <c r="FMY22" s="1773"/>
      <c r="FMZ22" s="1773"/>
      <c r="FNA22" s="1773"/>
      <c r="FNB22" s="1773"/>
      <c r="FNC22" s="1773"/>
      <c r="FND22" s="1773"/>
      <c r="FNE22" s="1773"/>
      <c r="FNF22" s="1773"/>
      <c r="FNG22" s="1773"/>
      <c r="FNH22" s="1773"/>
      <c r="FNI22" s="1773"/>
      <c r="FNJ22" s="1773"/>
      <c r="FNK22" s="1773"/>
      <c r="FNL22" s="1773"/>
      <c r="FNM22" s="1773"/>
      <c r="FNN22" s="1773"/>
      <c r="FNO22" s="1773"/>
      <c r="FNP22" s="1773"/>
      <c r="FNQ22" s="1773"/>
      <c r="FNR22" s="1773"/>
      <c r="FNS22" s="1773"/>
      <c r="FNT22" s="1773"/>
      <c r="FNU22" s="1773"/>
      <c r="FNV22" s="1773"/>
      <c r="FNW22" s="1773"/>
      <c r="FNX22" s="1773"/>
      <c r="FNY22" s="1773"/>
      <c r="FNZ22" s="1773"/>
      <c r="FOA22" s="1773"/>
      <c r="FOB22" s="1773"/>
      <c r="FOC22" s="1773"/>
      <c r="FOD22" s="1773"/>
      <c r="FOE22" s="1773"/>
      <c r="FOF22" s="1773"/>
      <c r="FOG22" s="1773"/>
      <c r="FOH22" s="1773"/>
      <c r="FOI22" s="1773"/>
      <c r="FOJ22" s="1773"/>
      <c r="FOK22" s="1773"/>
      <c r="FOL22" s="1773"/>
      <c r="FOM22" s="1773"/>
      <c r="FON22" s="1773"/>
      <c r="FOO22" s="1773"/>
      <c r="FOP22" s="1773"/>
      <c r="FOQ22" s="1773"/>
      <c r="FOR22" s="1773"/>
      <c r="FOS22" s="1773"/>
      <c r="FOT22" s="1773"/>
      <c r="FOU22" s="1773"/>
      <c r="FOV22" s="1773"/>
      <c r="FOW22" s="1773"/>
      <c r="FOX22" s="1773"/>
      <c r="FOY22" s="1773"/>
      <c r="FOZ22" s="1773"/>
      <c r="FPA22" s="1773"/>
      <c r="FPB22" s="1773"/>
      <c r="FPC22" s="1773"/>
      <c r="FPD22" s="1773"/>
      <c r="FPE22" s="1773"/>
      <c r="FPF22" s="1773"/>
      <c r="FPG22" s="1773"/>
      <c r="FPH22" s="1773"/>
      <c r="FPI22" s="1773"/>
      <c r="FPJ22" s="1773"/>
      <c r="FPK22" s="1773"/>
      <c r="FPL22" s="1773"/>
      <c r="FPM22" s="1773"/>
      <c r="FPN22" s="1773"/>
      <c r="FPO22" s="1773"/>
      <c r="FPP22" s="1773"/>
      <c r="FPQ22" s="1773"/>
      <c r="FPR22" s="1773"/>
      <c r="FPS22" s="1773"/>
      <c r="FPT22" s="1773"/>
      <c r="FPU22" s="1773"/>
      <c r="FPV22" s="1773"/>
      <c r="FPW22" s="1773"/>
      <c r="FPX22" s="1773"/>
      <c r="FPY22" s="1773"/>
      <c r="FPZ22" s="1773"/>
      <c r="FQA22" s="1773"/>
      <c r="FQB22" s="1773"/>
      <c r="FQC22" s="1773"/>
      <c r="FQD22" s="1773"/>
      <c r="FQE22" s="1773"/>
      <c r="FQF22" s="1773"/>
      <c r="FQG22" s="1773"/>
      <c r="FQH22" s="1773"/>
      <c r="FQI22" s="1773"/>
      <c r="FQJ22" s="1773"/>
      <c r="FQK22" s="1773"/>
      <c r="FQL22" s="1773"/>
      <c r="FQM22" s="1773"/>
      <c r="FQN22" s="1773"/>
      <c r="FQO22" s="1773"/>
      <c r="FQP22" s="1773"/>
      <c r="FQQ22" s="1773"/>
      <c r="FQR22" s="1773"/>
      <c r="FQS22" s="1773"/>
      <c r="FQT22" s="1773"/>
      <c r="FQU22" s="1773"/>
      <c r="FQV22" s="1773"/>
      <c r="FQW22" s="1773"/>
      <c r="FQX22" s="1773"/>
      <c r="FQY22" s="1773"/>
      <c r="FQZ22" s="1773"/>
      <c r="FRA22" s="1773"/>
      <c r="FRB22" s="1773"/>
      <c r="FRC22" s="1773"/>
      <c r="FRD22" s="1773"/>
      <c r="FRE22" s="1773"/>
      <c r="FRF22" s="1773"/>
      <c r="FRG22" s="1773"/>
      <c r="FRH22" s="1773"/>
      <c r="FRI22" s="1773"/>
      <c r="FRJ22" s="1773"/>
      <c r="FRK22" s="1773"/>
      <c r="FRL22" s="1773"/>
      <c r="FRM22" s="1773"/>
      <c r="FRN22" s="1773"/>
      <c r="FRO22" s="1773"/>
      <c r="FRP22" s="1773"/>
      <c r="FRQ22" s="1773"/>
      <c r="FRR22" s="1773"/>
      <c r="FRS22" s="1773"/>
      <c r="FRT22" s="1773"/>
      <c r="FRU22" s="1773"/>
      <c r="FRV22" s="1773"/>
      <c r="FRW22" s="1773"/>
      <c r="FRX22" s="1773"/>
      <c r="FRY22" s="1773"/>
      <c r="FRZ22" s="1773"/>
      <c r="FSA22" s="1773"/>
      <c r="FSB22" s="1773"/>
      <c r="FSC22" s="1773"/>
      <c r="FSD22" s="1773"/>
      <c r="FSE22" s="1773"/>
      <c r="FSF22" s="1773"/>
      <c r="FSG22" s="1773"/>
      <c r="FSH22" s="1773"/>
      <c r="FSI22" s="1773"/>
      <c r="FSJ22" s="1773"/>
      <c r="FSK22" s="1773"/>
      <c r="FSL22" s="1773"/>
      <c r="FSM22" s="1773"/>
      <c r="FSN22" s="1773"/>
      <c r="FSO22" s="1773"/>
      <c r="FSP22" s="1773"/>
      <c r="FSQ22" s="1773"/>
      <c r="FSR22" s="1773"/>
      <c r="FSS22" s="1773"/>
      <c r="FST22" s="1773"/>
      <c r="FSU22" s="1773"/>
      <c r="FSV22" s="1773"/>
      <c r="FSW22" s="1773"/>
      <c r="FSX22" s="1773"/>
      <c r="FSY22" s="1773"/>
      <c r="FSZ22" s="1773"/>
      <c r="FTA22" s="1773"/>
      <c r="FTB22" s="1773"/>
      <c r="FTC22" s="1773"/>
      <c r="FTD22" s="1773"/>
      <c r="FTE22" s="1773"/>
      <c r="FTF22" s="1773"/>
      <c r="FTG22" s="1773"/>
      <c r="FTH22" s="1773"/>
      <c r="FTI22" s="1773"/>
      <c r="FTJ22" s="1773"/>
      <c r="FTK22" s="1773"/>
      <c r="FTL22" s="1773"/>
      <c r="FTM22" s="1773"/>
      <c r="FTN22" s="1773"/>
      <c r="FTO22" s="1773"/>
      <c r="FTP22" s="1773"/>
      <c r="FTQ22" s="1773"/>
      <c r="FTR22" s="1773"/>
      <c r="FTS22" s="1773"/>
      <c r="FTT22" s="1773"/>
      <c r="FTU22" s="1773"/>
      <c r="FTV22" s="1773"/>
      <c r="FTW22" s="1773"/>
      <c r="FTX22" s="1773"/>
      <c r="FTY22" s="1773"/>
      <c r="FTZ22" s="1773"/>
      <c r="FUA22" s="1773"/>
      <c r="FUB22" s="1773"/>
      <c r="FUC22" s="1773"/>
      <c r="FUD22" s="1773"/>
      <c r="FUE22" s="1773"/>
      <c r="FUF22" s="1773"/>
      <c r="FUG22" s="1773"/>
      <c r="FUH22" s="1773"/>
      <c r="FUI22" s="1773"/>
      <c r="FUJ22" s="1773"/>
      <c r="FUK22" s="1773"/>
      <c r="FUL22" s="1773"/>
      <c r="FUM22" s="1773"/>
      <c r="FUN22" s="1773"/>
      <c r="FUO22" s="1773"/>
      <c r="FUP22" s="1773"/>
      <c r="FUQ22" s="1773"/>
      <c r="FUR22" s="1773"/>
      <c r="FUS22" s="1773"/>
      <c r="FUT22" s="1773"/>
      <c r="FUU22" s="1773"/>
      <c r="FUV22" s="1773"/>
      <c r="FUW22" s="1773"/>
      <c r="FUX22" s="1773"/>
      <c r="FUY22" s="1773"/>
      <c r="FUZ22" s="1773"/>
      <c r="FVA22" s="1773"/>
      <c r="FVB22" s="1773"/>
      <c r="FVC22" s="1773"/>
      <c r="FVD22" s="1773"/>
      <c r="FVE22" s="1773"/>
      <c r="FVF22" s="1773"/>
      <c r="FVG22" s="1773"/>
      <c r="FVH22" s="1773"/>
      <c r="FVI22" s="1773"/>
      <c r="FVJ22" s="1773"/>
      <c r="FVK22" s="1773"/>
      <c r="FVL22" s="1773"/>
      <c r="FVM22" s="1773"/>
      <c r="FVN22" s="1773"/>
      <c r="FVO22" s="1773"/>
      <c r="FVP22" s="1773"/>
      <c r="FVQ22" s="1773"/>
      <c r="FVR22" s="1773"/>
      <c r="FVS22" s="1773"/>
      <c r="FVT22" s="1773"/>
      <c r="FVU22" s="1773"/>
      <c r="FVV22" s="1773"/>
      <c r="FVW22" s="1773"/>
      <c r="FVX22" s="1773"/>
      <c r="FVY22" s="1773"/>
      <c r="FVZ22" s="1773"/>
      <c r="FWA22" s="1773"/>
      <c r="FWB22" s="1773"/>
      <c r="FWC22" s="1773"/>
      <c r="FWD22" s="1773"/>
      <c r="FWE22" s="1773"/>
      <c r="FWF22" s="1773"/>
      <c r="FWG22" s="1773"/>
      <c r="FWH22" s="1773"/>
      <c r="FWI22" s="1773"/>
      <c r="FWJ22" s="1773"/>
      <c r="FWK22" s="1773"/>
      <c r="FWL22" s="1773"/>
      <c r="FWM22" s="1773"/>
      <c r="FWN22" s="1773"/>
      <c r="FWO22" s="1773"/>
      <c r="FWP22" s="1773"/>
      <c r="FWQ22" s="1773"/>
      <c r="FWR22" s="1773"/>
      <c r="FWS22" s="1773"/>
      <c r="FWT22" s="1773"/>
      <c r="FWU22" s="1773"/>
      <c r="FWV22" s="1773"/>
      <c r="FWW22" s="1773"/>
      <c r="FWX22" s="1773"/>
      <c r="FWY22" s="1773"/>
      <c r="FWZ22" s="1773"/>
      <c r="FXA22" s="1773"/>
      <c r="FXB22" s="1773"/>
      <c r="FXC22" s="1773"/>
      <c r="FXD22" s="1773"/>
      <c r="FXE22" s="1773"/>
      <c r="FXF22" s="1773"/>
      <c r="FXG22" s="1773"/>
      <c r="FXH22" s="1773"/>
      <c r="FXI22" s="1773"/>
      <c r="FXJ22" s="1773"/>
      <c r="FXK22" s="1773"/>
      <c r="FXL22" s="1773"/>
      <c r="FXM22" s="1773"/>
      <c r="FXN22" s="1773"/>
      <c r="FXO22" s="1773"/>
      <c r="FXP22" s="1773"/>
      <c r="FXQ22" s="1773"/>
      <c r="FXR22" s="1773"/>
      <c r="FXS22" s="1773"/>
      <c r="FXT22" s="1773"/>
      <c r="FXU22" s="1773"/>
      <c r="FXV22" s="1773"/>
      <c r="FXW22" s="1773"/>
      <c r="FXX22" s="1773"/>
      <c r="FXY22" s="1773"/>
      <c r="FXZ22" s="1773"/>
      <c r="FYA22" s="1773"/>
      <c r="FYB22" s="1773"/>
      <c r="FYC22" s="1773"/>
      <c r="FYD22" s="1773"/>
      <c r="FYE22" s="1773"/>
      <c r="FYF22" s="1773"/>
      <c r="FYG22" s="1773"/>
      <c r="FYH22" s="1773"/>
      <c r="FYI22" s="1773"/>
      <c r="FYJ22" s="1773"/>
      <c r="FYK22" s="1773"/>
      <c r="FYL22" s="1773"/>
      <c r="FYM22" s="1773"/>
      <c r="FYN22" s="1773"/>
      <c r="FYO22" s="1773"/>
      <c r="FYP22" s="1773"/>
      <c r="FYQ22" s="1773"/>
      <c r="FYR22" s="1773"/>
      <c r="FYS22" s="1773"/>
      <c r="FYT22" s="1773"/>
      <c r="FYU22" s="1773"/>
      <c r="FYV22" s="1773"/>
      <c r="FYW22" s="1773"/>
      <c r="FYX22" s="1773"/>
      <c r="FYY22" s="1773"/>
      <c r="FYZ22" s="1773"/>
      <c r="FZA22" s="1773"/>
      <c r="FZB22" s="1773"/>
      <c r="FZC22" s="1773"/>
      <c r="FZD22" s="1773"/>
      <c r="FZE22" s="1773"/>
      <c r="FZF22" s="1773"/>
      <c r="FZG22" s="1773"/>
      <c r="FZH22" s="1773"/>
      <c r="FZI22" s="1773"/>
      <c r="FZJ22" s="1773"/>
      <c r="FZK22" s="1773"/>
      <c r="FZL22" s="1773"/>
      <c r="FZM22" s="1773"/>
      <c r="FZN22" s="1773"/>
      <c r="FZO22" s="1773"/>
      <c r="FZP22" s="1773"/>
      <c r="FZQ22" s="1773"/>
      <c r="FZR22" s="1773"/>
      <c r="FZS22" s="1773"/>
      <c r="FZT22" s="1773"/>
      <c r="FZU22" s="1773"/>
      <c r="FZV22" s="1773"/>
      <c r="FZW22" s="1773"/>
      <c r="FZX22" s="1773"/>
      <c r="FZY22" s="1773"/>
      <c r="FZZ22" s="1773"/>
      <c r="GAA22" s="1773"/>
      <c r="GAB22" s="1773"/>
      <c r="GAC22" s="1773"/>
      <c r="GAD22" s="1773"/>
      <c r="GAE22" s="1773"/>
      <c r="GAF22" s="1773"/>
      <c r="GAG22" s="1773"/>
      <c r="GAH22" s="1773"/>
      <c r="GAI22" s="1773"/>
      <c r="GAJ22" s="1773"/>
      <c r="GAK22" s="1773"/>
      <c r="GAL22" s="1773"/>
      <c r="GAM22" s="1773"/>
      <c r="GAN22" s="1773"/>
      <c r="GAO22" s="1773"/>
      <c r="GAP22" s="1773"/>
      <c r="GAQ22" s="1773"/>
      <c r="GAR22" s="1773"/>
      <c r="GAS22" s="1773"/>
      <c r="GAT22" s="1773"/>
      <c r="GAU22" s="1773"/>
      <c r="GAV22" s="1773"/>
      <c r="GAW22" s="1773"/>
      <c r="GAX22" s="1773"/>
      <c r="GAY22" s="1773"/>
      <c r="GAZ22" s="1773"/>
      <c r="GBA22" s="1773"/>
      <c r="GBB22" s="1773"/>
      <c r="GBC22" s="1773"/>
      <c r="GBD22" s="1773"/>
      <c r="GBE22" s="1773"/>
      <c r="GBF22" s="1773"/>
      <c r="GBG22" s="1773"/>
      <c r="GBH22" s="1773"/>
      <c r="GBI22" s="1773"/>
      <c r="GBJ22" s="1773"/>
      <c r="GBK22" s="1773"/>
      <c r="GBL22" s="1773"/>
      <c r="GBM22" s="1773"/>
      <c r="GBN22" s="1773"/>
      <c r="GBO22" s="1773"/>
      <c r="GBP22" s="1773"/>
      <c r="GBQ22" s="1773"/>
      <c r="GBR22" s="1773"/>
      <c r="GBS22" s="1773"/>
      <c r="GBT22" s="1773"/>
      <c r="GBU22" s="1773"/>
      <c r="GBV22" s="1773"/>
      <c r="GBW22" s="1773"/>
      <c r="GBX22" s="1773"/>
      <c r="GBY22" s="1773"/>
      <c r="GBZ22" s="1773"/>
      <c r="GCA22" s="1773"/>
      <c r="GCB22" s="1773"/>
      <c r="GCC22" s="1773"/>
      <c r="GCD22" s="1773"/>
      <c r="GCE22" s="1773"/>
      <c r="GCF22" s="1773"/>
      <c r="GCG22" s="1773"/>
      <c r="GCH22" s="1773"/>
      <c r="GCI22" s="1773"/>
      <c r="GCJ22" s="1773"/>
      <c r="GCK22" s="1773"/>
      <c r="GCL22" s="1773"/>
      <c r="GCM22" s="1773"/>
      <c r="GCN22" s="1773"/>
      <c r="GCO22" s="1773"/>
      <c r="GCP22" s="1773"/>
      <c r="GCQ22" s="1773"/>
      <c r="GCR22" s="1773"/>
      <c r="GCS22" s="1773"/>
      <c r="GCT22" s="1773"/>
      <c r="GCU22" s="1773"/>
      <c r="GCV22" s="1773"/>
      <c r="GCW22" s="1773"/>
      <c r="GCX22" s="1773"/>
      <c r="GCY22" s="1773"/>
      <c r="GCZ22" s="1773"/>
      <c r="GDA22" s="1773"/>
      <c r="GDB22" s="1773"/>
      <c r="GDC22" s="1773"/>
      <c r="GDD22" s="1773"/>
      <c r="GDE22" s="1773"/>
      <c r="GDF22" s="1773"/>
      <c r="GDG22" s="1773"/>
      <c r="GDH22" s="1773"/>
      <c r="GDI22" s="1773"/>
      <c r="GDJ22" s="1773"/>
      <c r="GDK22" s="1773"/>
      <c r="GDL22" s="1773"/>
      <c r="GDM22" s="1773"/>
      <c r="GDN22" s="1773"/>
      <c r="GDO22" s="1773"/>
      <c r="GDP22" s="1773"/>
      <c r="GDQ22" s="1773"/>
      <c r="GDR22" s="1773"/>
      <c r="GDS22" s="1773"/>
      <c r="GDT22" s="1773"/>
      <c r="GDU22" s="1773"/>
      <c r="GDV22" s="1773"/>
      <c r="GDW22" s="1773"/>
      <c r="GDX22" s="1773"/>
      <c r="GDY22" s="1773"/>
      <c r="GDZ22" s="1773"/>
      <c r="GEA22" s="1773"/>
      <c r="GEB22" s="1773"/>
      <c r="GEC22" s="1773"/>
      <c r="GED22" s="1773"/>
      <c r="GEE22" s="1773"/>
      <c r="GEF22" s="1773"/>
      <c r="GEG22" s="1773"/>
      <c r="GEH22" s="1773"/>
      <c r="GEI22" s="1773"/>
      <c r="GEJ22" s="1773"/>
      <c r="GEK22" s="1773"/>
      <c r="GEL22" s="1773"/>
      <c r="GEM22" s="1773"/>
      <c r="GEN22" s="1773"/>
      <c r="GEO22" s="1773"/>
      <c r="GEP22" s="1773"/>
      <c r="GEQ22" s="1773"/>
      <c r="GER22" s="1773"/>
      <c r="GES22" s="1773"/>
      <c r="GET22" s="1773"/>
      <c r="GEU22" s="1773"/>
      <c r="GEV22" s="1773"/>
      <c r="GEW22" s="1773"/>
      <c r="GEX22" s="1773"/>
      <c r="GEY22" s="1773"/>
      <c r="GEZ22" s="1773"/>
      <c r="GFA22" s="1773"/>
      <c r="GFB22" s="1773"/>
      <c r="GFC22" s="1773"/>
      <c r="GFD22" s="1773"/>
      <c r="GFE22" s="1773"/>
      <c r="GFF22" s="1773"/>
      <c r="GFG22" s="1773"/>
      <c r="GFH22" s="1773"/>
      <c r="GFI22" s="1773"/>
      <c r="GFJ22" s="1773"/>
      <c r="GFK22" s="1773"/>
      <c r="GFL22" s="1773"/>
      <c r="GFM22" s="1773"/>
      <c r="GFN22" s="1773"/>
      <c r="GFO22" s="1773"/>
      <c r="GFP22" s="1773"/>
      <c r="GFQ22" s="1773"/>
      <c r="GFR22" s="1773"/>
      <c r="GFS22" s="1773"/>
      <c r="GFT22" s="1773"/>
      <c r="GFU22" s="1773"/>
      <c r="GFV22" s="1773"/>
      <c r="GFW22" s="1773"/>
      <c r="GFX22" s="1773"/>
      <c r="GFY22" s="1773"/>
      <c r="GFZ22" s="1773"/>
      <c r="GGA22" s="1773"/>
      <c r="GGB22" s="1773"/>
      <c r="GGC22" s="1773"/>
      <c r="GGD22" s="1773"/>
      <c r="GGE22" s="1773"/>
      <c r="GGF22" s="1773"/>
      <c r="GGG22" s="1773"/>
      <c r="GGH22" s="1773"/>
      <c r="GGI22" s="1773"/>
      <c r="GGJ22" s="1773"/>
      <c r="GGK22" s="1773"/>
      <c r="GGL22" s="1773"/>
      <c r="GGM22" s="1773"/>
      <c r="GGN22" s="1773"/>
      <c r="GGO22" s="1773"/>
      <c r="GGP22" s="1773"/>
      <c r="GGQ22" s="1773"/>
      <c r="GGR22" s="1773"/>
      <c r="GGS22" s="1773"/>
      <c r="GGT22" s="1773"/>
      <c r="GGU22" s="1773"/>
      <c r="GGV22" s="1773"/>
      <c r="GGW22" s="1773"/>
      <c r="GGX22" s="1773"/>
      <c r="GGY22" s="1773"/>
      <c r="GGZ22" s="1773"/>
      <c r="GHA22" s="1773"/>
      <c r="GHB22" s="1773"/>
      <c r="GHC22" s="1773"/>
      <c r="GHD22" s="1773"/>
      <c r="GHE22" s="1773"/>
      <c r="GHF22" s="1773"/>
      <c r="GHG22" s="1773"/>
      <c r="GHH22" s="1773"/>
      <c r="GHI22" s="1773"/>
      <c r="GHJ22" s="1773"/>
      <c r="GHK22" s="1773"/>
      <c r="GHL22" s="1773"/>
      <c r="GHM22" s="1773"/>
      <c r="GHN22" s="1773"/>
      <c r="GHO22" s="1773"/>
      <c r="GHP22" s="1773"/>
      <c r="GHQ22" s="1773"/>
      <c r="GHR22" s="1773"/>
      <c r="GHS22" s="1773"/>
      <c r="GHT22" s="1773"/>
      <c r="GHU22" s="1773"/>
      <c r="GHV22" s="1773"/>
      <c r="GHW22" s="1773"/>
      <c r="GHX22" s="1773"/>
      <c r="GHY22" s="1773"/>
      <c r="GHZ22" s="1773"/>
      <c r="GIA22" s="1773"/>
      <c r="GIB22" s="1773"/>
      <c r="GIC22" s="1773"/>
      <c r="GID22" s="1773"/>
      <c r="GIE22" s="1773"/>
      <c r="GIF22" s="1773"/>
      <c r="GIG22" s="1773"/>
      <c r="GIH22" s="1773"/>
      <c r="GII22" s="1773"/>
      <c r="GIJ22" s="1773"/>
      <c r="GIK22" s="1773"/>
      <c r="GIL22" s="1773"/>
      <c r="GIM22" s="1773"/>
      <c r="GIN22" s="1773"/>
      <c r="GIO22" s="1773"/>
      <c r="GIP22" s="1773"/>
      <c r="GIQ22" s="1773"/>
      <c r="GIR22" s="1773"/>
      <c r="GIS22" s="1773"/>
      <c r="GIT22" s="1773"/>
      <c r="GIU22" s="1773"/>
      <c r="GIV22" s="1773"/>
      <c r="GIW22" s="1773"/>
      <c r="GIX22" s="1773"/>
      <c r="GIY22" s="1773"/>
      <c r="GIZ22" s="1773"/>
      <c r="GJA22" s="1773"/>
      <c r="GJB22" s="1773"/>
      <c r="GJC22" s="1773"/>
      <c r="GJD22" s="1773"/>
      <c r="GJE22" s="1773"/>
      <c r="GJF22" s="1773"/>
      <c r="GJG22" s="1773"/>
      <c r="GJH22" s="1773"/>
      <c r="GJI22" s="1773"/>
      <c r="GJJ22" s="1773"/>
      <c r="GJK22" s="1773"/>
      <c r="GJL22" s="1773"/>
      <c r="GJM22" s="1773"/>
      <c r="GJN22" s="1773"/>
      <c r="GJO22" s="1773"/>
      <c r="GJP22" s="1773"/>
      <c r="GJQ22" s="1773"/>
      <c r="GJR22" s="1773"/>
      <c r="GJS22" s="1773"/>
      <c r="GJT22" s="1773"/>
      <c r="GJU22" s="1773"/>
      <c r="GJV22" s="1773"/>
      <c r="GJW22" s="1773"/>
      <c r="GJX22" s="1773"/>
      <c r="GJY22" s="1773"/>
      <c r="GJZ22" s="1773"/>
      <c r="GKA22" s="1773"/>
      <c r="GKB22" s="1773"/>
      <c r="GKC22" s="1773"/>
      <c r="GKD22" s="1773"/>
      <c r="GKE22" s="1773"/>
      <c r="GKF22" s="1773"/>
      <c r="GKG22" s="1773"/>
      <c r="GKH22" s="1773"/>
      <c r="GKI22" s="1773"/>
      <c r="GKJ22" s="1773"/>
      <c r="GKK22" s="1773"/>
      <c r="GKL22" s="1773"/>
      <c r="GKM22" s="1773"/>
      <c r="GKN22" s="1773"/>
      <c r="GKO22" s="1773"/>
      <c r="GKP22" s="1773"/>
      <c r="GKQ22" s="1773"/>
      <c r="GKR22" s="1773"/>
      <c r="GKS22" s="1773"/>
      <c r="GKT22" s="1773"/>
      <c r="GKU22" s="1773"/>
      <c r="GKV22" s="1773"/>
      <c r="GKW22" s="1773"/>
      <c r="GKX22" s="1773"/>
      <c r="GKY22" s="1773"/>
      <c r="GKZ22" s="1773"/>
      <c r="GLA22" s="1773"/>
      <c r="GLB22" s="1773"/>
      <c r="GLC22" s="1773"/>
      <c r="GLD22" s="1773"/>
      <c r="GLE22" s="1773"/>
      <c r="GLF22" s="1773"/>
      <c r="GLG22" s="1773"/>
      <c r="GLH22" s="1773"/>
      <c r="GLI22" s="1773"/>
      <c r="GLJ22" s="1773"/>
      <c r="GLK22" s="1773"/>
      <c r="GLL22" s="1773"/>
      <c r="GLM22" s="1773"/>
      <c r="GLN22" s="1773"/>
      <c r="GLO22" s="1773"/>
      <c r="GLP22" s="1773"/>
      <c r="GLQ22" s="1773"/>
      <c r="GLR22" s="1773"/>
      <c r="GLS22" s="1773"/>
      <c r="GLT22" s="1773"/>
      <c r="GLU22" s="1773"/>
      <c r="GLV22" s="1773"/>
      <c r="GLW22" s="1773"/>
      <c r="GLX22" s="1773"/>
      <c r="GLY22" s="1773"/>
      <c r="GLZ22" s="1773"/>
      <c r="GMA22" s="1773"/>
      <c r="GMB22" s="1773"/>
      <c r="GMC22" s="1773"/>
      <c r="GMD22" s="1773"/>
      <c r="GME22" s="1773"/>
      <c r="GMF22" s="1773"/>
      <c r="GMG22" s="1773"/>
      <c r="GMH22" s="1773"/>
      <c r="GMI22" s="1773"/>
      <c r="GMJ22" s="1773"/>
      <c r="GMK22" s="1773"/>
      <c r="GML22" s="1773"/>
      <c r="GMM22" s="1773"/>
      <c r="GMN22" s="1773"/>
      <c r="GMO22" s="1773"/>
      <c r="GMP22" s="1773"/>
      <c r="GMQ22" s="1773"/>
      <c r="GMR22" s="1773"/>
      <c r="GMS22" s="1773"/>
      <c r="GMT22" s="1773"/>
      <c r="GMU22" s="1773"/>
      <c r="GMV22" s="1773"/>
      <c r="GMW22" s="1773"/>
      <c r="GMX22" s="1773"/>
      <c r="GMY22" s="1773"/>
      <c r="GMZ22" s="1773"/>
      <c r="GNA22" s="1773"/>
      <c r="GNB22" s="1773"/>
      <c r="GNC22" s="1773"/>
      <c r="GND22" s="1773"/>
      <c r="GNE22" s="1773"/>
      <c r="GNF22" s="1773"/>
      <c r="GNG22" s="1773"/>
      <c r="GNH22" s="1773"/>
      <c r="GNI22" s="1773"/>
      <c r="GNJ22" s="1773"/>
      <c r="GNK22" s="1773"/>
      <c r="GNL22" s="1773"/>
      <c r="GNM22" s="1773"/>
      <c r="GNN22" s="1773"/>
      <c r="GNO22" s="1773"/>
      <c r="GNP22" s="1773"/>
      <c r="GNQ22" s="1773"/>
      <c r="GNR22" s="1773"/>
      <c r="GNS22" s="1773"/>
      <c r="GNT22" s="1773"/>
      <c r="GNU22" s="1773"/>
      <c r="GNV22" s="1773"/>
      <c r="GNW22" s="1773"/>
      <c r="GNX22" s="1773"/>
      <c r="GNY22" s="1773"/>
      <c r="GNZ22" s="1773"/>
      <c r="GOA22" s="1773"/>
      <c r="GOB22" s="1773"/>
      <c r="GOC22" s="1773"/>
      <c r="GOD22" s="1773"/>
      <c r="GOE22" s="1773"/>
      <c r="GOF22" s="1773"/>
      <c r="GOG22" s="1773"/>
      <c r="GOH22" s="1773"/>
      <c r="GOI22" s="1773"/>
      <c r="GOJ22" s="1773"/>
      <c r="GOK22" s="1773"/>
      <c r="GOL22" s="1773"/>
      <c r="GOM22" s="1773"/>
      <c r="GON22" s="1773"/>
      <c r="GOO22" s="1773"/>
      <c r="GOP22" s="1773"/>
      <c r="GOQ22" s="1773"/>
      <c r="GOR22" s="1773"/>
      <c r="GOS22" s="1773"/>
      <c r="GOT22" s="1773"/>
      <c r="GOU22" s="1773"/>
      <c r="GOV22" s="1773"/>
      <c r="GOW22" s="1773"/>
      <c r="GOX22" s="1773"/>
      <c r="GOY22" s="1773"/>
      <c r="GOZ22" s="1773"/>
      <c r="GPA22" s="1773"/>
      <c r="GPB22" s="1773"/>
      <c r="GPC22" s="1773"/>
      <c r="GPD22" s="1773"/>
      <c r="GPE22" s="1773"/>
      <c r="GPF22" s="1773"/>
      <c r="GPG22" s="1773"/>
      <c r="GPH22" s="1773"/>
      <c r="GPI22" s="1773"/>
      <c r="GPJ22" s="1773"/>
      <c r="GPK22" s="1773"/>
      <c r="GPL22" s="1773"/>
      <c r="GPM22" s="1773"/>
      <c r="GPN22" s="1773"/>
      <c r="GPO22" s="1773"/>
      <c r="GPP22" s="1773"/>
      <c r="GPQ22" s="1773"/>
      <c r="GPR22" s="1773"/>
      <c r="GPS22" s="1773"/>
      <c r="GPT22" s="1773"/>
      <c r="GPU22" s="1773"/>
      <c r="GPV22" s="1773"/>
      <c r="GPW22" s="1773"/>
      <c r="GPX22" s="1773"/>
      <c r="GPY22" s="1773"/>
      <c r="GPZ22" s="1773"/>
      <c r="GQA22" s="1773"/>
      <c r="GQB22" s="1773"/>
      <c r="GQC22" s="1773"/>
      <c r="GQD22" s="1773"/>
      <c r="GQE22" s="1773"/>
      <c r="GQF22" s="1773"/>
      <c r="GQG22" s="1773"/>
      <c r="GQH22" s="1773"/>
      <c r="GQI22" s="1773"/>
      <c r="GQJ22" s="1773"/>
      <c r="GQK22" s="1773"/>
      <c r="GQL22" s="1773"/>
      <c r="GQM22" s="1773"/>
      <c r="GQN22" s="1773"/>
      <c r="GQO22" s="1773"/>
      <c r="GQP22" s="1773"/>
      <c r="GQQ22" s="1773"/>
      <c r="GQR22" s="1773"/>
      <c r="GQS22" s="1773"/>
      <c r="GQT22" s="1773"/>
      <c r="GQU22" s="1773"/>
      <c r="GQV22" s="1773"/>
      <c r="GQW22" s="1773"/>
      <c r="GQX22" s="1773"/>
      <c r="GQY22" s="1773"/>
      <c r="GQZ22" s="1773"/>
      <c r="GRA22" s="1773"/>
      <c r="GRB22" s="1773"/>
      <c r="GRC22" s="1773"/>
      <c r="GRD22" s="1773"/>
      <c r="GRE22" s="1773"/>
      <c r="GRF22" s="1773"/>
      <c r="GRG22" s="1773"/>
      <c r="GRH22" s="1773"/>
      <c r="GRI22" s="1773"/>
      <c r="GRJ22" s="1773"/>
      <c r="GRK22" s="1773"/>
      <c r="GRL22" s="1773"/>
      <c r="GRM22" s="1773"/>
      <c r="GRN22" s="1773"/>
      <c r="GRO22" s="1773"/>
      <c r="GRP22" s="1773"/>
      <c r="GRQ22" s="1773"/>
      <c r="GRR22" s="1773"/>
      <c r="GRS22" s="1773"/>
      <c r="GRT22" s="1773"/>
      <c r="GRU22" s="1773"/>
      <c r="GRV22" s="1773"/>
      <c r="GRW22" s="1773"/>
      <c r="GRX22" s="1773"/>
      <c r="GRY22" s="1773"/>
      <c r="GRZ22" s="1773"/>
      <c r="GSA22" s="1773"/>
      <c r="GSB22" s="1773"/>
      <c r="GSC22" s="1773"/>
      <c r="GSD22" s="1773"/>
      <c r="GSE22" s="1773"/>
      <c r="GSF22" s="1773"/>
      <c r="GSG22" s="1773"/>
      <c r="GSH22" s="1773"/>
      <c r="GSI22" s="1773"/>
      <c r="GSJ22" s="1773"/>
      <c r="GSK22" s="1773"/>
      <c r="GSL22" s="1773"/>
      <c r="GSM22" s="1773"/>
      <c r="GSN22" s="1773"/>
      <c r="GSO22" s="1773"/>
      <c r="GSP22" s="1773"/>
      <c r="GSQ22" s="1773"/>
      <c r="GSR22" s="1773"/>
      <c r="GSS22" s="1773"/>
      <c r="GST22" s="1773"/>
      <c r="GSU22" s="1773"/>
      <c r="GSV22" s="1773"/>
      <c r="GSW22" s="1773"/>
      <c r="GSX22" s="1773"/>
      <c r="GSY22" s="1773"/>
      <c r="GSZ22" s="1773"/>
      <c r="GTA22" s="1773"/>
      <c r="GTB22" s="1773"/>
      <c r="GTC22" s="1773"/>
      <c r="GTD22" s="1773"/>
      <c r="GTE22" s="1773"/>
      <c r="GTF22" s="1773"/>
      <c r="GTG22" s="1773"/>
      <c r="GTH22" s="1773"/>
      <c r="GTI22" s="1773"/>
      <c r="GTJ22" s="1773"/>
      <c r="GTK22" s="1773"/>
      <c r="GTL22" s="1773"/>
      <c r="GTM22" s="1773"/>
      <c r="GTN22" s="1773"/>
      <c r="GTO22" s="1773"/>
      <c r="GTP22" s="1773"/>
      <c r="GTQ22" s="1773"/>
      <c r="GTR22" s="1773"/>
      <c r="GTS22" s="1773"/>
      <c r="GTT22" s="1773"/>
      <c r="GTU22" s="1773"/>
      <c r="GTV22" s="1773"/>
      <c r="GTW22" s="1773"/>
      <c r="GTX22" s="1773"/>
      <c r="GTY22" s="1773"/>
      <c r="GTZ22" s="1773"/>
      <c r="GUA22" s="1773"/>
      <c r="GUB22" s="1773"/>
      <c r="GUC22" s="1773"/>
      <c r="GUD22" s="1773"/>
      <c r="GUE22" s="1773"/>
      <c r="GUF22" s="1773"/>
      <c r="GUG22" s="1773"/>
      <c r="GUH22" s="1773"/>
      <c r="GUI22" s="1773"/>
      <c r="GUJ22" s="1773"/>
      <c r="GUK22" s="1773"/>
      <c r="GUL22" s="1773"/>
      <c r="GUM22" s="1773"/>
      <c r="GUN22" s="1773"/>
      <c r="GUO22" s="1773"/>
      <c r="GUP22" s="1773"/>
      <c r="GUQ22" s="1773"/>
      <c r="GUR22" s="1773"/>
      <c r="GUS22" s="1773"/>
      <c r="GUT22" s="1773"/>
      <c r="GUU22" s="1773"/>
      <c r="GUV22" s="1773"/>
      <c r="GUW22" s="1773"/>
      <c r="GUX22" s="1773"/>
      <c r="GUY22" s="1773"/>
      <c r="GUZ22" s="1773"/>
      <c r="GVA22" s="1773"/>
      <c r="GVB22" s="1773"/>
      <c r="GVC22" s="1773"/>
      <c r="GVD22" s="1773"/>
      <c r="GVE22" s="1773"/>
      <c r="GVF22" s="1773"/>
      <c r="GVG22" s="1773"/>
      <c r="GVH22" s="1773"/>
      <c r="GVI22" s="1773"/>
      <c r="GVJ22" s="1773"/>
      <c r="GVK22" s="1773"/>
      <c r="GVL22" s="1773"/>
      <c r="GVM22" s="1773"/>
      <c r="GVN22" s="1773"/>
      <c r="GVO22" s="1773"/>
      <c r="GVP22" s="1773"/>
      <c r="GVQ22" s="1773"/>
      <c r="GVR22" s="1773"/>
      <c r="GVS22" s="1773"/>
      <c r="GVT22" s="1773"/>
      <c r="GVU22" s="1773"/>
      <c r="GVV22" s="1773"/>
      <c r="GVW22" s="1773"/>
      <c r="GVX22" s="1773"/>
      <c r="GVY22" s="1773"/>
      <c r="GVZ22" s="1773"/>
      <c r="GWA22" s="1773"/>
      <c r="GWB22" s="1773"/>
      <c r="GWC22" s="1773"/>
      <c r="GWD22" s="1773"/>
      <c r="GWE22" s="1773"/>
      <c r="GWF22" s="1773"/>
      <c r="GWG22" s="1773"/>
      <c r="GWH22" s="1773"/>
      <c r="GWI22" s="1773"/>
      <c r="GWJ22" s="1773"/>
      <c r="GWK22" s="1773"/>
      <c r="GWL22" s="1773"/>
      <c r="GWM22" s="1773"/>
      <c r="GWN22" s="1773"/>
      <c r="GWO22" s="1773"/>
      <c r="GWP22" s="1773"/>
      <c r="GWQ22" s="1773"/>
      <c r="GWR22" s="1773"/>
      <c r="GWS22" s="1773"/>
      <c r="GWT22" s="1773"/>
      <c r="GWU22" s="1773"/>
      <c r="GWV22" s="1773"/>
      <c r="GWW22" s="1773"/>
      <c r="GWX22" s="1773"/>
      <c r="GWY22" s="1773"/>
      <c r="GWZ22" s="1773"/>
      <c r="GXA22" s="1773"/>
      <c r="GXB22" s="1773"/>
      <c r="GXC22" s="1773"/>
      <c r="GXD22" s="1773"/>
      <c r="GXE22" s="1773"/>
      <c r="GXF22" s="1773"/>
      <c r="GXG22" s="1773"/>
      <c r="GXH22" s="1773"/>
      <c r="GXI22" s="1773"/>
      <c r="GXJ22" s="1773"/>
      <c r="GXK22" s="1773"/>
      <c r="GXL22" s="1773"/>
      <c r="GXM22" s="1773"/>
      <c r="GXN22" s="1773"/>
      <c r="GXO22" s="1773"/>
      <c r="GXP22" s="1773"/>
      <c r="GXQ22" s="1773"/>
      <c r="GXR22" s="1773"/>
      <c r="GXS22" s="1773"/>
      <c r="GXT22" s="1773"/>
      <c r="GXU22" s="1773"/>
      <c r="GXV22" s="1773"/>
      <c r="GXW22" s="1773"/>
      <c r="GXX22" s="1773"/>
      <c r="GXY22" s="1773"/>
      <c r="GXZ22" s="1773"/>
      <c r="GYA22" s="1773"/>
      <c r="GYB22" s="1773"/>
      <c r="GYC22" s="1773"/>
      <c r="GYD22" s="1773"/>
      <c r="GYE22" s="1773"/>
      <c r="GYF22" s="1773"/>
      <c r="GYG22" s="1773"/>
      <c r="GYH22" s="1773"/>
      <c r="GYI22" s="1773"/>
      <c r="GYJ22" s="1773"/>
      <c r="GYK22" s="1773"/>
      <c r="GYL22" s="1773"/>
      <c r="GYM22" s="1773"/>
      <c r="GYN22" s="1773"/>
      <c r="GYO22" s="1773"/>
      <c r="GYP22" s="1773"/>
      <c r="GYQ22" s="1773"/>
      <c r="GYR22" s="1773"/>
      <c r="GYS22" s="1773"/>
      <c r="GYT22" s="1773"/>
      <c r="GYU22" s="1773"/>
      <c r="GYV22" s="1773"/>
      <c r="GYW22" s="1773"/>
      <c r="GYX22" s="1773"/>
      <c r="GYY22" s="1773"/>
      <c r="GYZ22" s="1773"/>
      <c r="GZA22" s="1773"/>
      <c r="GZB22" s="1773"/>
      <c r="GZC22" s="1773"/>
      <c r="GZD22" s="1773"/>
      <c r="GZE22" s="1773"/>
      <c r="GZF22" s="1773"/>
      <c r="GZG22" s="1773"/>
      <c r="GZH22" s="1773"/>
      <c r="GZI22" s="1773"/>
      <c r="GZJ22" s="1773"/>
      <c r="GZK22" s="1773"/>
      <c r="GZL22" s="1773"/>
      <c r="GZM22" s="1773"/>
      <c r="GZN22" s="1773"/>
      <c r="GZO22" s="1773"/>
      <c r="GZP22" s="1773"/>
      <c r="GZQ22" s="1773"/>
      <c r="GZR22" s="1773"/>
      <c r="GZS22" s="1773"/>
      <c r="GZT22" s="1773"/>
      <c r="GZU22" s="1773"/>
      <c r="GZV22" s="1773"/>
      <c r="GZW22" s="1773"/>
      <c r="GZX22" s="1773"/>
      <c r="GZY22" s="1773"/>
      <c r="GZZ22" s="1773"/>
      <c r="HAA22" s="1773"/>
      <c r="HAB22" s="1773"/>
      <c r="HAC22" s="1773"/>
      <c r="HAD22" s="1773"/>
      <c r="HAE22" s="1773"/>
      <c r="HAF22" s="1773"/>
      <c r="HAG22" s="1773"/>
      <c r="HAH22" s="1773"/>
      <c r="HAI22" s="1773"/>
      <c r="HAJ22" s="1773"/>
      <c r="HAK22" s="1773"/>
      <c r="HAL22" s="1773"/>
      <c r="HAM22" s="1773"/>
      <c r="HAN22" s="1773"/>
      <c r="HAO22" s="1773"/>
      <c r="HAP22" s="1773"/>
      <c r="HAQ22" s="1773"/>
      <c r="HAR22" s="1773"/>
      <c r="HAS22" s="1773"/>
      <c r="HAT22" s="1773"/>
      <c r="HAU22" s="1773"/>
      <c r="HAV22" s="1773"/>
      <c r="HAW22" s="1773"/>
      <c r="HAX22" s="1773"/>
      <c r="HAY22" s="1773"/>
      <c r="HAZ22" s="1773"/>
      <c r="HBA22" s="1773"/>
      <c r="HBB22" s="1773"/>
      <c r="HBC22" s="1773"/>
      <c r="HBD22" s="1773"/>
      <c r="HBE22" s="1773"/>
      <c r="HBF22" s="1773"/>
      <c r="HBG22" s="1773"/>
      <c r="HBH22" s="1773"/>
      <c r="HBI22" s="1773"/>
      <c r="HBJ22" s="1773"/>
      <c r="HBK22" s="1773"/>
      <c r="HBL22" s="1773"/>
      <c r="HBM22" s="1773"/>
      <c r="HBN22" s="1773"/>
      <c r="HBO22" s="1773"/>
      <c r="HBP22" s="1773"/>
      <c r="HBQ22" s="1773"/>
      <c r="HBR22" s="1773"/>
      <c r="HBS22" s="1773"/>
      <c r="HBT22" s="1773"/>
      <c r="HBU22" s="1773"/>
      <c r="HBV22" s="1773"/>
      <c r="HBW22" s="1773"/>
      <c r="HBX22" s="1773"/>
      <c r="HBY22" s="1773"/>
      <c r="HBZ22" s="1773"/>
      <c r="HCA22" s="1773"/>
      <c r="HCB22" s="1773"/>
      <c r="HCC22" s="1773"/>
      <c r="HCD22" s="1773"/>
      <c r="HCE22" s="1773"/>
      <c r="HCF22" s="1773"/>
      <c r="HCG22" s="1773"/>
      <c r="HCH22" s="1773"/>
      <c r="HCI22" s="1773"/>
      <c r="HCJ22" s="1773"/>
      <c r="HCK22" s="1773"/>
      <c r="HCL22" s="1773"/>
      <c r="HCM22" s="1773"/>
      <c r="HCN22" s="1773"/>
      <c r="HCO22" s="1773"/>
      <c r="HCP22" s="1773"/>
      <c r="HCQ22" s="1773"/>
      <c r="HCR22" s="1773"/>
      <c r="HCS22" s="1773"/>
      <c r="HCT22" s="1773"/>
      <c r="HCU22" s="1773"/>
      <c r="HCV22" s="1773"/>
      <c r="HCW22" s="1773"/>
      <c r="HCX22" s="1773"/>
      <c r="HCY22" s="1773"/>
      <c r="HCZ22" s="1773"/>
      <c r="HDA22" s="1773"/>
      <c r="HDB22" s="1773"/>
      <c r="HDC22" s="1773"/>
      <c r="HDD22" s="1773"/>
      <c r="HDE22" s="1773"/>
      <c r="HDF22" s="1773"/>
      <c r="HDG22" s="1773"/>
      <c r="HDH22" s="1773"/>
      <c r="HDI22" s="1773"/>
      <c r="HDJ22" s="1773"/>
      <c r="HDK22" s="1773"/>
      <c r="HDL22" s="1773"/>
      <c r="HDM22" s="1773"/>
      <c r="HDN22" s="1773"/>
      <c r="HDO22" s="1773"/>
      <c r="HDP22" s="1773"/>
      <c r="HDQ22" s="1773"/>
      <c r="HDR22" s="1773"/>
      <c r="HDS22" s="1773"/>
      <c r="HDT22" s="1773"/>
      <c r="HDU22" s="1773"/>
      <c r="HDV22" s="1773"/>
      <c r="HDW22" s="1773"/>
      <c r="HDX22" s="1773"/>
      <c r="HDY22" s="1773"/>
      <c r="HDZ22" s="1773"/>
      <c r="HEA22" s="1773"/>
      <c r="HEB22" s="1773"/>
      <c r="HEC22" s="1773"/>
      <c r="HED22" s="1773"/>
      <c r="HEE22" s="1773"/>
      <c r="HEF22" s="1773"/>
      <c r="HEG22" s="1773"/>
      <c r="HEH22" s="1773"/>
      <c r="HEI22" s="1773"/>
      <c r="HEJ22" s="1773"/>
      <c r="HEK22" s="1773"/>
      <c r="HEL22" s="1773"/>
      <c r="HEM22" s="1773"/>
      <c r="HEN22" s="1773"/>
      <c r="HEO22" s="1773"/>
      <c r="HEP22" s="1773"/>
      <c r="HEQ22" s="1773"/>
      <c r="HER22" s="1773"/>
      <c r="HES22" s="1773"/>
      <c r="HET22" s="1773"/>
      <c r="HEU22" s="1773"/>
      <c r="HEV22" s="1773"/>
      <c r="HEW22" s="1773"/>
      <c r="HEX22" s="1773"/>
      <c r="HEY22" s="1773"/>
      <c r="HEZ22" s="1773"/>
      <c r="HFA22" s="1773"/>
      <c r="HFB22" s="1773"/>
      <c r="HFC22" s="1773"/>
      <c r="HFD22" s="1773"/>
      <c r="HFE22" s="1773"/>
      <c r="HFF22" s="1773"/>
      <c r="HFG22" s="1773"/>
      <c r="HFH22" s="1773"/>
      <c r="HFI22" s="1773"/>
      <c r="HFJ22" s="1773"/>
      <c r="HFK22" s="1773"/>
      <c r="HFL22" s="1773"/>
      <c r="HFM22" s="1773"/>
      <c r="HFN22" s="1773"/>
      <c r="HFO22" s="1773"/>
      <c r="HFP22" s="1773"/>
      <c r="HFQ22" s="1773"/>
      <c r="HFR22" s="1773"/>
      <c r="HFS22" s="1773"/>
      <c r="HFT22" s="1773"/>
      <c r="HFU22" s="1773"/>
      <c r="HFV22" s="1773"/>
      <c r="HFW22" s="1773"/>
      <c r="HFX22" s="1773"/>
      <c r="HFY22" s="1773"/>
      <c r="HFZ22" s="1773"/>
      <c r="HGA22" s="1773"/>
      <c r="HGB22" s="1773"/>
      <c r="HGC22" s="1773"/>
      <c r="HGD22" s="1773"/>
      <c r="HGE22" s="1773"/>
      <c r="HGF22" s="1773"/>
      <c r="HGG22" s="1773"/>
      <c r="HGH22" s="1773"/>
      <c r="HGI22" s="1773"/>
      <c r="HGJ22" s="1773"/>
      <c r="HGK22" s="1773"/>
      <c r="HGL22" s="1773"/>
      <c r="HGM22" s="1773"/>
      <c r="HGN22" s="1773"/>
      <c r="HGO22" s="1773"/>
      <c r="HGP22" s="1773"/>
      <c r="HGQ22" s="1773"/>
      <c r="HGR22" s="1773"/>
      <c r="HGS22" s="1773"/>
      <c r="HGT22" s="1773"/>
      <c r="HGU22" s="1773"/>
      <c r="HGV22" s="1773"/>
      <c r="HGW22" s="1773"/>
      <c r="HGX22" s="1773"/>
      <c r="HGY22" s="1773"/>
      <c r="HGZ22" s="1773"/>
      <c r="HHA22" s="1773"/>
      <c r="HHB22" s="1773"/>
      <c r="HHC22" s="1773"/>
      <c r="HHD22" s="1773"/>
      <c r="HHE22" s="1773"/>
      <c r="HHF22" s="1773"/>
      <c r="HHG22" s="1773"/>
      <c r="HHH22" s="1773"/>
      <c r="HHI22" s="1773"/>
      <c r="HHJ22" s="1773"/>
      <c r="HHK22" s="1773"/>
      <c r="HHL22" s="1773"/>
      <c r="HHM22" s="1773"/>
      <c r="HHN22" s="1773"/>
      <c r="HHO22" s="1773"/>
      <c r="HHP22" s="1773"/>
      <c r="HHQ22" s="1773"/>
      <c r="HHR22" s="1773"/>
      <c r="HHS22" s="1773"/>
      <c r="HHT22" s="1773"/>
      <c r="HHU22" s="1773"/>
      <c r="HHV22" s="1773"/>
      <c r="HHW22" s="1773"/>
      <c r="HHX22" s="1773"/>
      <c r="HHY22" s="1773"/>
      <c r="HHZ22" s="1773"/>
      <c r="HIA22" s="1773"/>
      <c r="HIB22" s="1773"/>
      <c r="HIC22" s="1773"/>
      <c r="HID22" s="1773"/>
      <c r="HIE22" s="1773"/>
      <c r="HIF22" s="1773"/>
      <c r="HIG22" s="1773"/>
      <c r="HIH22" s="1773"/>
      <c r="HII22" s="1773"/>
      <c r="HIJ22" s="1773"/>
      <c r="HIK22" s="1773"/>
      <c r="HIL22" s="1773"/>
      <c r="HIM22" s="1773"/>
      <c r="HIN22" s="1773"/>
      <c r="HIO22" s="1773"/>
      <c r="HIP22" s="1773"/>
      <c r="HIQ22" s="1773"/>
      <c r="HIR22" s="1773"/>
      <c r="HIS22" s="1773"/>
      <c r="HIT22" s="1773"/>
      <c r="HIU22" s="1773"/>
      <c r="HIV22" s="1773"/>
      <c r="HIW22" s="1773"/>
      <c r="HIX22" s="1773"/>
      <c r="HIY22" s="1773"/>
      <c r="HIZ22" s="1773"/>
      <c r="HJA22" s="1773"/>
      <c r="HJB22" s="1773"/>
      <c r="HJC22" s="1773"/>
      <c r="HJD22" s="1773"/>
      <c r="HJE22" s="1773"/>
      <c r="HJF22" s="1773"/>
      <c r="HJG22" s="1773"/>
      <c r="HJH22" s="1773"/>
      <c r="HJI22" s="1773"/>
      <c r="HJJ22" s="1773"/>
      <c r="HJK22" s="1773"/>
      <c r="HJL22" s="1773"/>
      <c r="HJM22" s="1773"/>
      <c r="HJN22" s="1773"/>
      <c r="HJO22" s="1773"/>
      <c r="HJP22" s="1773"/>
      <c r="HJQ22" s="1773"/>
      <c r="HJR22" s="1773"/>
      <c r="HJS22" s="1773"/>
      <c r="HJT22" s="1773"/>
      <c r="HJU22" s="1773"/>
      <c r="HJV22" s="1773"/>
      <c r="HJW22" s="1773"/>
      <c r="HJX22" s="1773"/>
      <c r="HJY22" s="1773"/>
      <c r="HJZ22" s="1773"/>
      <c r="HKA22" s="1773"/>
      <c r="HKB22" s="1773"/>
      <c r="HKC22" s="1773"/>
      <c r="HKD22" s="1773"/>
      <c r="HKE22" s="1773"/>
      <c r="HKF22" s="1773"/>
      <c r="HKG22" s="1773"/>
      <c r="HKH22" s="1773"/>
      <c r="HKI22" s="1773"/>
      <c r="HKJ22" s="1773"/>
      <c r="HKK22" s="1773"/>
      <c r="HKL22" s="1773"/>
      <c r="HKM22" s="1773"/>
      <c r="HKN22" s="1773"/>
      <c r="HKO22" s="1773"/>
      <c r="HKP22" s="1773"/>
      <c r="HKQ22" s="1773"/>
      <c r="HKR22" s="1773"/>
      <c r="HKS22" s="1773"/>
      <c r="HKT22" s="1773"/>
      <c r="HKU22" s="1773"/>
      <c r="HKV22" s="1773"/>
      <c r="HKW22" s="1773"/>
      <c r="HKX22" s="1773"/>
      <c r="HKY22" s="1773"/>
      <c r="HKZ22" s="1773"/>
      <c r="HLA22" s="1773"/>
      <c r="HLB22" s="1773"/>
      <c r="HLC22" s="1773"/>
      <c r="HLD22" s="1773"/>
      <c r="HLE22" s="1773"/>
      <c r="HLF22" s="1773"/>
      <c r="HLG22" s="1773"/>
      <c r="HLH22" s="1773"/>
      <c r="HLI22" s="1773"/>
      <c r="HLJ22" s="1773"/>
      <c r="HLK22" s="1773"/>
      <c r="HLL22" s="1773"/>
      <c r="HLM22" s="1773"/>
      <c r="HLN22" s="1773"/>
      <c r="HLO22" s="1773"/>
      <c r="HLP22" s="1773"/>
      <c r="HLQ22" s="1773"/>
      <c r="HLR22" s="1773"/>
      <c r="HLS22" s="1773"/>
      <c r="HLT22" s="1773"/>
      <c r="HLU22" s="1773"/>
      <c r="HLV22" s="1773"/>
      <c r="HLW22" s="1773"/>
      <c r="HLX22" s="1773"/>
      <c r="HLY22" s="1773"/>
      <c r="HLZ22" s="1773"/>
      <c r="HMA22" s="1773"/>
      <c r="HMB22" s="1773"/>
      <c r="HMC22" s="1773"/>
      <c r="HMD22" s="1773"/>
      <c r="HME22" s="1773"/>
      <c r="HMF22" s="1773"/>
      <c r="HMG22" s="1773"/>
      <c r="HMH22" s="1773"/>
      <c r="HMI22" s="1773"/>
      <c r="HMJ22" s="1773"/>
      <c r="HMK22" s="1773"/>
      <c r="HML22" s="1773"/>
      <c r="HMM22" s="1773"/>
      <c r="HMN22" s="1773"/>
      <c r="HMO22" s="1773"/>
      <c r="HMP22" s="1773"/>
      <c r="HMQ22" s="1773"/>
      <c r="HMR22" s="1773"/>
      <c r="HMS22" s="1773"/>
      <c r="HMT22" s="1773"/>
      <c r="HMU22" s="1773"/>
      <c r="HMV22" s="1773"/>
      <c r="HMW22" s="1773"/>
      <c r="HMX22" s="1773"/>
      <c r="HMY22" s="1773"/>
      <c r="HMZ22" s="1773"/>
      <c r="HNA22" s="1773"/>
      <c r="HNB22" s="1773"/>
      <c r="HNC22" s="1773"/>
      <c r="HND22" s="1773"/>
      <c r="HNE22" s="1773"/>
      <c r="HNF22" s="1773"/>
      <c r="HNG22" s="1773"/>
      <c r="HNH22" s="1773"/>
      <c r="HNI22" s="1773"/>
      <c r="HNJ22" s="1773"/>
      <c r="HNK22" s="1773"/>
      <c r="HNL22" s="1773"/>
      <c r="HNM22" s="1773"/>
      <c r="HNN22" s="1773"/>
      <c r="HNO22" s="1773"/>
      <c r="HNP22" s="1773"/>
      <c r="HNQ22" s="1773"/>
      <c r="HNR22" s="1773"/>
      <c r="HNS22" s="1773"/>
      <c r="HNT22" s="1773"/>
      <c r="HNU22" s="1773"/>
      <c r="HNV22" s="1773"/>
      <c r="HNW22" s="1773"/>
      <c r="HNX22" s="1773"/>
      <c r="HNY22" s="1773"/>
      <c r="HNZ22" s="1773"/>
      <c r="HOA22" s="1773"/>
      <c r="HOB22" s="1773"/>
      <c r="HOC22" s="1773"/>
      <c r="HOD22" s="1773"/>
      <c r="HOE22" s="1773"/>
      <c r="HOF22" s="1773"/>
      <c r="HOG22" s="1773"/>
      <c r="HOH22" s="1773"/>
      <c r="HOI22" s="1773"/>
      <c r="HOJ22" s="1773"/>
      <c r="HOK22" s="1773"/>
      <c r="HOL22" s="1773"/>
      <c r="HOM22" s="1773"/>
      <c r="HON22" s="1773"/>
      <c r="HOO22" s="1773"/>
      <c r="HOP22" s="1773"/>
      <c r="HOQ22" s="1773"/>
      <c r="HOR22" s="1773"/>
      <c r="HOS22" s="1773"/>
      <c r="HOT22" s="1773"/>
      <c r="HOU22" s="1773"/>
      <c r="HOV22" s="1773"/>
      <c r="HOW22" s="1773"/>
      <c r="HOX22" s="1773"/>
      <c r="HOY22" s="1773"/>
      <c r="HOZ22" s="1773"/>
      <c r="HPA22" s="1773"/>
      <c r="HPB22" s="1773"/>
      <c r="HPC22" s="1773"/>
      <c r="HPD22" s="1773"/>
      <c r="HPE22" s="1773"/>
      <c r="HPF22" s="1773"/>
      <c r="HPG22" s="1773"/>
      <c r="HPH22" s="1773"/>
      <c r="HPI22" s="1773"/>
      <c r="HPJ22" s="1773"/>
      <c r="HPK22" s="1773"/>
      <c r="HPL22" s="1773"/>
      <c r="HPM22" s="1773"/>
      <c r="HPN22" s="1773"/>
      <c r="HPO22" s="1773"/>
      <c r="HPP22" s="1773"/>
      <c r="HPQ22" s="1773"/>
      <c r="HPR22" s="1773"/>
      <c r="HPS22" s="1773"/>
      <c r="HPT22" s="1773"/>
      <c r="HPU22" s="1773"/>
      <c r="HPV22" s="1773"/>
      <c r="HPW22" s="1773"/>
      <c r="HPX22" s="1773"/>
      <c r="HPY22" s="1773"/>
      <c r="HPZ22" s="1773"/>
      <c r="HQA22" s="1773"/>
      <c r="HQB22" s="1773"/>
      <c r="HQC22" s="1773"/>
      <c r="HQD22" s="1773"/>
      <c r="HQE22" s="1773"/>
      <c r="HQF22" s="1773"/>
      <c r="HQG22" s="1773"/>
      <c r="HQH22" s="1773"/>
      <c r="HQI22" s="1773"/>
      <c r="HQJ22" s="1773"/>
      <c r="HQK22" s="1773"/>
      <c r="HQL22" s="1773"/>
      <c r="HQM22" s="1773"/>
      <c r="HQN22" s="1773"/>
      <c r="HQO22" s="1773"/>
      <c r="HQP22" s="1773"/>
      <c r="HQQ22" s="1773"/>
      <c r="HQR22" s="1773"/>
      <c r="HQS22" s="1773"/>
      <c r="HQT22" s="1773"/>
      <c r="HQU22" s="1773"/>
      <c r="HQV22" s="1773"/>
      <c r="HQW22" s="1773"/>
      <c r="HQX22" s="1773"/>
      <c r="HQY22" s="1773"/>
      <c r="HQZ22" s="1773"/>
      <c r="HRA22" s="1773"/>
      <c r="HRB22" s="1773"/>
      <c r="HRC22" s="1773"/>
      <c r="HRD22" s="1773"/>
      <c r="HRE22" s="1773"/>
      <c r="HRF22" s="1773"/>
      <c r="HRG22" s="1773"/>
      <c r="HRH22" s="1773"/>
      <c r="HRI22" s="1773"/>
      <c r="HRJ22" s="1773"/>
      <c r="HRK22" s="1773"/>
      <c r="HRL22" s="1773"/>
      <c r="HRM22" s="1773"/>
      <c r="HRN22" s="1773"/>
      <c r="HRO22" s="1773"/>
      <c r="HRP22" s="1773"/>
      <c r="HRQ22" s="1773"/>
      <c r="HRR22" s="1773"/>
      <c r="HRS22" s="1773"/>
      <c r="HRT22" s="1773"/>
      <c r="HRU22" s="1773"/>
      <c r="HRV22" s="1773"/>
      <c r="HRW22" s="1773"/>
      <c r="HRX22" s="1773"/>
      <c r="HRY22" s="1773"/>
      <c r="HRZ22" s="1773"/>
      <c r="HSA22" s="1773"/>
      <c r="HSB22" s="1773"/>
      <c r="HSC22" s="1773"/>
      <c r="HSD22" s="1773"/>
      <c r="HSE22" s="1773"/>
      <c r="HSF22" s="1773"/>
      <c r="HSG22" s="1773"/>
      <c r="HSH22" s="1773"/>
      <c r="HSI22" s="1773"/>
      <c r="HSJ22" s="1773"/>
      <c r="HSK22" s="1773"/>
      <c r="HSL22" s="1773"/>
      <c r="HSM22" s="1773"/>
      <c r="HSN22" s="1773"/>
      <c r="HSO22" s="1773"/>
      <c r="HSP22" s="1773"/>
      <c r="HSQ22" s="1773"/>
      <c r="HSR22" s="1773"/>
      <c r="HSS22" s="1773"/>
      <c r="HST22" s="1773"/>
      <c r="HSU22" s="1773"/>
      <c r="HSV22" s="1773"/>
      <c r="HSW22" s="1773"/>
      <c r="HSX22" s="1773"/>
      <c r="HSY22" s="1773"/>
      <c r="HSZ22" s="1773"/>
      <c r="HTA22" s="1773"/>
      <c r="HTB22" s="1773"/>
      <c r="HTC22" s="1773"/>
      <c r="HTD22" s="1773"/>
      <c r="HTE22" s="1773"/>
      <c r="HTF22" s="1773"/>
      <c r="HTG22" s="1773"/>
      <c r="HTH22" s="1773"/>
      <c r="HTI22" s="1773"/>
      <c r="HTJ22" s="1773"/>
      <c r="HTK22" s="1773"/>
      <c r="HTL22" s="1773"/>
      <c r="HTM22" s="1773"/>
      <c r="HTN22" s="1773"/>
      <c r="HTO22" s="1773"/>
      <c r="HTP22" s="1773"/>
      <c r="HTQ22" s="1773"/>
      <c r="HTR22" s="1773"/>
      <c r="HTS22" s="1773"/>
      <c r="HTT22" s="1773"/>
      <c r="HTU22" s="1773"/>
      <c r="HTV22" s="1773"/>
      <c r="HTW22" s="1773"/>
      <c r="HTX22" s="1773"/>
      <c r="HTY22" s="1773"/>
      <c r="HTZ22" s="1773"/>
      <c r="HUA22" s="1773"/>
      <c r="HUB22" s="1773"/>
      <c r="HUC22" s="1773"/>
      <c r="HUD22" s="1773"/>
      <c r="HUE22" s="1773"/>
      <c r="HUF22" s="1773"/>
      <c r="HUG22" s="1773"/>
      <c r="HUH22" s="1773"/>
      <c r="HUI22" s="1773"/>
      <c r="HUJ22" s="1773"/>
      <c r="HUK22" s="1773"/>
      <c r="HUL22" s="1773"/>
      <c r="HUM22" s="1773"/>
      <c r="HUN22" s="1773"/>
      <c r="HUO22" s="1773"/>
      <c r="HUP22" s="1773"/>
      <c r="HUQ22" s="1773"/>
      <c r="HUR22" s="1773"/>
      <c r="HUS22" s="1773"/>
      <c r="HUT22" s="1773"/>
      <c r="HUU22" s="1773"/>
      <c r="HUV22" s="1773"/>
      <c r="HUW22" s="1773"/>
      <c r="HUX22" s="1773"/>
      <c r="HUY22" s="1773"/>
      <c r="HUZ22" s="1773"/>
      <c r="HVA22" s="1773"/>
      <c r="HVB22" s="1773"/>
      <c r="HVC22" s="1773"/>
      <c r="HVD22" s="1773"/>
      <c r="HVE22" s="1773"/>
      <c r="HVF22" s="1773"/>
      <c r="HVG22" s="1773"/>
      <c r="HVH22" s="1773"/>
      <c r="HVI22" s="1773"/>
      <c r="HVJ22" s="1773"/>
      <c r="HVK22" s="1773"/>
      <c r="HVL22" s="1773"/>
      <c r="HVM22" s="1773"/>
      <c r="HVN22" s="1773"/>
      <c r="HVO22" s="1773"/>
      <c r="HVP22" s="1773"/>
      <c r="HVQ22" s="1773"/>
      <c r="HVR22" s="1773"/>
      <c r="HVS22" s="1773"/>
      <c r="HVT22" s="1773"/>
      <c r="HVU22" s="1773"/>
      <c r="HVV22" s="1773"/>
      <c r="HVW22" s="1773"/>
      <c r="HVX22" s="1773"/>
      <c r="HVY22" s="1773"/>
      <c r="HVZ22" s="1773"/>
      <c r="HWA22" s="1773"/>
      <c r="HWB22" s="1773"/>
      <c r="HWC22" s="1773"/>
      <c r="HWD22" s="1773"/>
      <c r="HWE22" s="1773"/>
      <c r="HWF22" s="1773"/>
      <c r="HWG22" s="1773"/>
      <c r="HWH22" s="1773"/>
      <c r="HWI22" s="1773"/>
      <c r="HWJ22" s="1773"/>
      <c r="HWK22" s="1773"/>
      <c r="HWL22" s="1773"/>
      <c r="HWM22" s="1773"/>
      <c r="HWN22" s="1773"/>
      <c r="HWO22" s="1773"/>
      <c r="HWP22" s="1773"/>
      <c r="HWQ22" s="1773"/>
      <c r="HWR22" s="1773"/>
      <c r="HWS22" s="1773"/>
      <c r="HWT22" s="1773"/>
      <c r="HWU22" s="1773"/>
      <c r="HWV22" s="1773"/>
      <c r="HWW22" s="1773"/>
      <c r="HWX22" s="1773"/>
      <c r="HWY22" s="1773"/>
      <c r="HWZ22" s="1773"/>
      <c r="HXA22" s="1773"/>
      <c r="HXB22" s="1773"/>
      <c r="HXC22" s="1773"/>
      <c r="HXD22" s="1773"/>
      <c r="HXE22" s="1773"/>
      <c r="HXF22" s="1773"/>
      <c r="HXG22" s="1773"/>
      <c r="HXH22" s="1773"/>
      <c r="HXI22" s="1773"/>
      <c r="HXJ22" s="1773"/>
      <c r="HXK22" s="1773"/>
      <c r="HXL22" s="1773"/>
      <c r="HXM22" s="1773"/>
      <c r="HXN22" s="1773"/>
      <c r="HXO22" s="1773"/>
      <c r="HXP22" s="1773"/>
      <c r="HXQ22" s="1773"/>
      <c r="HXR22" s="1773"/>
      <c r="HXS22" s="1773"/>
      <c r="HXT22" s="1773"/>
      <c r="HXU22" s="1773"/>
      <c r="HXV22" s="1773"/>
      <c r="HXW22" s="1773"/>
      <c r="HXX22" s="1773"/>
      <c r="HXY22" s="1773"/>
      <c r="HXZ22" s="1773"/>
      <c r="HYA22" s="1773"/>
      <c r="HYB22" s="1773"/>
      <c r="HYC22" s="1773"/>
      <c r="HYD22" s="1773"/>
      <c r="HYE22" s="1773"/>
      <c r="HYF22" s="1773"/>
      <c r="HYG22" s="1773"/>
      <c r="HYH22" s="1773"/>
      <c r="HYI22" s="1773"/>
      <c r="HYJ22" s="1773"/>
      <c r="HYK22" s="1773"/>
      <c r="HYL22" s="1773"/>
      <c r="HYM22" s="1773"/>
      <c r="HYN22" s="1773"/>
      <c r="HYO22" s="1773"/>
      <c r="HYP22" s="1773"/>
      <c r="HYQ22" s="1773"/>
      <c r="HYR22" s="1773"/>
      <c r="HYS22" s="1773"/>
      <c r="HYT22" s="1773"/>
      <c r="HYU22" s="1773"/>
      <c r="HYV22" s="1773"/>
      <c r="HYW22" s="1773"/>
      <c r="HYX22" s="1773"/>
      <c r="HYY22" s="1773"/>
      <c r="HYZ22" s="1773"/>
      <c r="HZA22" s="1773"/>
      <c r="HZB22" s="1773"/>
      <c r="HZC22" s="1773"/>
      <c r="HZD22" s="1773"/>
      <c r="HZE22" s="1773"/>
      <c r="HZF22" s="1773"/>
      <c r="HZG22" s="1773"/>
      <c r="HZH22" s="1773"/>
      <c r="HZI22" s="1773"/>
      <c r="HZJ22" s="1773"/>
      <c r="HZK22" s="1773"/>
      <c r="HZL22" s="1773"/>
      <c r="HZM22" s="1773"/>
      <c r="HZN22" s="1773"/>
      <c r="HZO22" s="1773"/>
      <c r="HZP22" s="1773"/>
      <c r="HZQ22" s="1773"/>
      <c r="HZR22" s="1773"/>
      <c r="HZS22" s="1773"/>
      <c r="HZT22" s="1773"/>
      <c r="HZU22" s="1773"/>
      <c r="HZV22" s="1773"/>
      <c r="HZW22" s="1773"/>
      <c r="HZX22" s="1773"/>
      <c r="HZY22" s="1773"/>
      <c r="HZZ22" s="1773"/>
      <c r="IAA22" s="1773"/>
      <c r="IAB22" s="1773"/>
      <c r="IAC22" s="1773"/>
      <c r="IAD22" s="1773"/>
      <c r="IAE22" s="1773"/>
      <c r="IAF22" s="1773"/>
      <c r="IAG22" s="1773"/>
      <c r="IAH22" s="1773"/>
      <c r="IAI22" s="1773"/>
      <c r="IAJ22" s="1773"/>
      <c r="IAK22" s="1773"/>
      <c r="IAL22" s="1773"/>
      <c r="IAM22" s="1773"/>
      <c r="IAN22" s="1773"/>
      <c r="IAO22" s="1773"/>
      <c r="IAP22" s="1773"/>
      <c r="IAQ22" s="1773"/>
      <c r="IAR22" s="1773"/>
      <c r="IAS22" s="1773"/>
      <c r="IAT22" s="1773"/>
      <c r="IAU22" s="1773"/>
      <c r="IAV22" s="1773"/>
      <c r="IAW22" s="1773"/>
      <c r="IAX22" s="1773"/>
      <c r="IAY22" s="1773"/>
      <c r="IAZ22" s="1773"/>
      <c r="IBA22" s="1773"/>
      <c r="IBB22" s="1773"/>
      <c r="IBC22" s="1773"/>
      <c r="IBD22" s="1773"/>
      <c r="IBE22" s="1773"/>
      <c r="IBF22" s="1773"/>
      <c r="IBG22" s="1773"/>
      <c r="IBH22" s="1773"/>
      <c r="IBI22" s="1773"/>
      <c r="IBJ22" s="1773"/>
      <c r="IBK22" s="1773"/>
      <c r="IBL22" s="1773"/>
      <c r="IBM22" s="1773"/>
      <c r="IBN22" s="1773"/>
      <c r="IBO22" s="1773"/>
      <c r="IBP22" s="1773"/>
      <c r="IBQ22" s="1773"/>
      <c r="IBR22" s="1773"/>
      <c r="IBS22" s="1773"/>
      <c r="IBT22" s="1773"/>
      <c r="IBU22" s="1773"/>
      <c r="IBV22" s="1773"/>
      <c r="IBW22" s="1773"/>
      <c r="IBX22" s="1773"/>
      <c r="IBY22" s="1773"/>
      <c r="IBZ22" s="1773"/>
      <c r="ICA22" s="1773"/>
      <c r="ICB22" s="1773"/>
      <c r="ICC22" s="1773"/>
      <c r="ICD22" s="1773"/>
      <c r="ICE22" s="1773"/>
      <c r="ICF22" s="1773"/>
      <c r="ICG22" s="1773"/>
      <c r="ICH22" s="1773"/>
      <c r="ICI22" s="1773"/>
      <c r="ICJ22" s="1773"/>
      <c r="ICK22" s="1773"/>
      <c r="ICL22" s="1773"/>
      <c r="ICM22" s="1773"/>
      <c r="ICN22" s="1773"/>
      <c r="ICO22" s="1773"/>
      <c r="ICP22" s="1773"/>
      <c r="ICQ22" s="1773"/>
      <c r="ICR22" s="1773"/>
      <c r="ICS22" s="1773"/>
      <c r="ICT22" s="1773"/>
      <c r="ICU22" s="1773"/>
      <c r="ICV22" s="1773"/>
      <c r="ICW22" s="1773"/>
      <c r="ICX22" s="1773"/>
      <c r="ICY22" s="1773"/>
      <c r="ICZ22" s="1773"/>
      <c r="IDA22" s="1773"/>
      <c r="IDB22" s="1773"/>
      <c r="IDC22" s="1773"/>
      <c r="IDD22" s="1773"/>
      <c r="IDE22" s="1773"/>
      <c r="IDF22" s="1773"/>
      <c r="IDG22" s="1773"/>
      <c r="IDH22" s="1773"/>
      <c r="IDI22" s="1773"/>
      <c r="IDJ22" s="1773"/>
      <c r="IDK22" s="1773"/>
      <c r="IDL22" s="1773"/>
      <c r="IDM22" s="1773"/>
      <c r="IDN22" s="1773"/>
      <c r="IDO22" s="1773"/>
      <c r="IDP22" s="1773"/>
      <c r="IDQ22" s="1773"/>
      <c r="IDR22" s="1773"/>
      <c r="IDS22" s="1773"/>
      <c r="IDT22" s="1773"/>
      <c r="IDU22" s="1773"/>
      <c r="IDV22" s="1773"/>
      <c r="IDW22" s="1773"/>
      <c r="IDX22" s="1773"/>
      <c r="IDY22" s="1773"/>
      <c r="IDZ22" s="1773"/>
      <c r="IEA22" s="1773"/>
      <c r="IEB22" s="1773"/>
      <c r="IEC22" s="1773"/>
      <c r="IED22" s="1773"/>
      <c r="IEE22" s="1773"/>
      <c r="IEF22" s="1773"/>
      <c r="IEG22" s="1773"/>
      <c r="IEH22" s="1773"/>
      <c r="IEI22" s="1773"/>
      <c r="IEJ22" s="1773"/>
      <c r="IEK22" s="1773"/>
      <c r="IEL22" s="1773"/>
      <c r="IEM22" s="1773"/>
      <c r="IEN22" s="1773"/>
      <c r="IEO22" s="1773"/>
      <c r="IEP22" s="1773"/>
      <c r="IEQ22" s="1773"/>
      <c r="IER22" s="1773"/>
      <c r="IES22" s="1773"/>
      <c r="IET22" s="1773"/>
      <c r="IEU22" s="1773"/>
      <c r="IEV22" s="1773"/>
      <c r="IEW22" s="1773"/>
      <c r="IEX22" s="1773"/>
      <c r="IEY22" s="1773"/>
      <c r="IEZ22" s="1773"/>
      <c r="IFA22" s="1773"/>
      <c r="IFB22" s="1773"/>
      <c r="IFC22" s="1773"/>
      <c r="IFD22" s="1773"/>
      <c r="IFE22" s="1773"/>
      <c r="IFF22" s="1773"/>
      <c r="IFG22" s="1773"/>
      <c r="IFH22" s="1773"/>
      <c r="IFI22" s="1773"/>
      <c r="IFJ22" s="1773"/>
      <c r="IFK22" s="1773"/>
      <c r="IFL22" s="1773"/>
      <c r="IFM22" s="1773"/>
      <c r="IFN22" s="1773"/>
      <c r="IFO22" s="1773"/>
      <c r="IFP22" s="1773"/>
      <c r="IFQ22" s="1773"/>
      <c r="IFR22" s="1773"/>
      <c r="IFS22" s="1773"/>
      <c r="IFT22" s="1773"/>
      <c r="IFU22" s="1773"/>
      <c r="IFV22" s="1773"/>
      <c r="IFW22" s="1773"/>
      <c r="IFX22" s="1773"/>
      <c r="IFY22" s="1773"/>
      <c r="IFZ22" s="1773"/>
      <c r="IGA22" s="1773"/>
      <c r="IGB22" s="1773"/>
      <c r="IGC22" s="1773"/>
      <c r="IGD22" s="1773"/>
      <c r="IGE22" s="1773"/>
      <c r="IGF22" s="1773"/>
      <c r="IGG22" s="1773"/>
      <c r="IGH22" s="1773"/>
      <c r="IGI22" s="1773"/>
      <c r="IGJ22" s="1773"/>
      <c r="IGK22" s="1773"/>
      <c r="IGL22" s="1773"/>
      <c r="IGM22" s="1773"/>
      <c r="IGN22" s="1773"/>
      <c r="IGO22" s="1773"/>
      <c r="IGP22" s="1773"/>
      <c r="IGQ22" s="1773"/>
      <c r="IGR22" s="1773"/>
      <c r="IGS22" s="1773"/>
      <c r="IGT22" s="1773"/>
      <c r="IGU22" s="1773"/>
      <c r="IGV22" s="1773"/>
      <c r="IGW22" s="1773"/>
      <c r="IGX22" s="1773"/>
      <c r="IGY22" s="1773"/>
      <c r="IGZ22" s="1773"/>
      <c r="IHA22" s="1773"/>
      <c r="IHB22" s="1773"/>
      <c r="IHC22" s="1773"/>
      <c r="IHD22" s="1773"/>
      <c r="IHE22" s="1773"/>
      <c r="IHF22" s="1773"/>
      <c r="IHG22" s="1773"/>
      <c r="IHH22" s="1773"/>
      <c r="IHI22" s="1773"/>
      <c r="IHJ22" s="1773"/>
      <c r="IHK22" s="1773"/>
      <c r="IHL22" s="1773"/>
      <c r="IHM22" s="1773"/>
      <c r="IHN22" s="1773"/>
      <c r="IHO22" s="1773"/>
      <c r="IHP22" s="1773"/>
      <c r="IHQ22" s="1773"/>
      <c r="IHR22" s="1773"/>
      <c r="IHS22" s="1773"/>
      <c r="IHT22" s="1773"/>
      <c r="IHU22" s="1773"/>
      <c r="IHV22" s="1773"/>
      <c r="IHW22" s="1773"/>
      <c r="IHX22" s="1773"/>
      <c r="IHY22" s="1773"/>
      <c r="IHZ22" s="1773"/>
      <c r="IIA22" s="1773"/>
      <c r="IIB22" s="1773"/>
      <c r="IIC22" s="1773"/>
      <c r="IID22" s="1773"/>
      <c r="IIE22" s="1773"/>
      <c r="IIF22" s="1773"/>
      <c r="IIG22" s="1773"/>
      <c r="IIH22" s="1773"/>
      <c r="III22" s="1773"/>
      <c r="IIJ22" s="1773"/>
      <c r="IIK22" s="1773"/>
      <c r="IIL22" s="1773"/>
      <c r="IIM22" s="1773"/>
      <c r="IIN22" s="1773"/>
      <c r="IIO22" s="1773"/>
      <c r="IIP22" s="1773"/>
      <c r="IIQ22" s="1773"/>
      <c r="IIR22" s="1773"/>
      <c r="IIS22" s="1773"/>
      <c r="IIT22" s="1773"/>
      <c r="IIU22" s="1773"/>
      <c r="IIV22" s="1773"/>
      <c r="IIW22" s="1773"/>
      <c r="IIX22" s="1773"/>
      <c r="IIY22" s="1773"/>
      <c r="IIZ22" s="1773"/>
      <c r="IJA22" s="1773"/>
      <c r="IJB22" s="1773"/>
      <c r="IJC22" s="1773"/>
      <c r="IJD22" s="1773"/>
      <c r="IJE22" s="1773"/>
      <c r="IJF22" s="1773"/>
      <c r="IJG22" s="1773"/>
      <c r="IJH22" s="1773"/>
      <c r="IJI22" s="1773"/>
      <c r="IJJ22" s="1773"/>
      <c r="IJK22" s="1773"/>
      <c r="IJL22" s="1773"/>
      <c r="IJM22" s="1773"/>
      <c r="IJN22" s="1773"/>
      <c r="IJO22" s="1773"/>
      <c r="IJP22" s="1773"/>
      <c r="IJQ22" s="1773"/>
      <c r="IJR22" s="1773"/>
      <c r="IJS22" s="1773"/>
      <c r="IJT22" s="1773"/>
      <c r="IJU22" s="1773"/>
      <c r="IJV22" s="1773"/>
      <c r="IJW22" s="1773"/>
      <c r="IJX22" s="1773"/>
      <c r="IJY22" s="1773"/>
      <c r="IJZ22" s="1773"/>
      <c r="IKA22" s="1773"/>
      <c r="IKB22" s="1773"/>
      <c r="IKC22" s="1773"/>
      <c r="IKD22" s="1773"/>
      <c r="IKE22" s="1773"/>
      <c r="IKF22" s="1773"/>
      <c r="IKG22" s="1773"/>
      <c r="IKH22" s="1773"/>
      <c r="IKI22" s="1773"/>
      <c r="IKJ22" s="1773"/>
      <c r="IKK22" s="1773"/>
      <c r="IKL22" s="1773"/>
      <c r="IKM22" s="1773"/>
      <c r="IKN22" s="1773"/>
      <c r="IKO22" s="1773"/>
      <c r="IKP22" s="1773"/>
      <c r="IKQ22" s="1773"/>
      <c r="IKR22" s="1773"/>
      <c r="IKS22" s="1773"/>
      <c r="IKT22" s="1773"/>
      <c r="IKU22" s="1773"/>
      <c r="IKV22" s="1773"/>
      <c r="IKW22" s="1773"/>
      <c r="IKX22" s="1773"/>
      <c r="IKY22" s="1773"/>
      <c r="IKZ22" s="1773"/>
      <c r="ILA22" s="1773"/>
      <c r="ILB22" s="1773"/>
      <c r="ILC22" s="1773"/>
      <c r="ILD22" s="1773"/>
      <c r="ILE22" s="1773"/>
      <c r="ILF22" s="1773"/>
      <c r="ILG22" s="1773"/>
      <c r="ILH22" s="1773"/>
      <c r="ILI22" s="1773"/>
      <c r="ILJ22" s="1773"/>
      <c r="ILK22" s="1773"/>
      <c r="ILL22" s="1773"/>
      <c r="ILM22" s="1773"/>
      <c r="ILN22" s="1773"/>
      <c r="ILO22" s="1773"/>
      <c r="ILP22" s="1773"/>
      <c r="ILQ22" s="1773"/>
      <c r="ILR22" s="1773"/>
      <c r="ILS22" s="1773"/>
      <c r="ILT22" s="1773"/>
      <c r="ILU22" s="1773"/>
      <c r="ILV22" s="1773"/>
      <c r="ILW22" s="1773"/>
      <c r="ILX22" s="1773"/>
      <c r="ILY22" s="1773"/>
      <c r="ILZ22" s="1773"/>
      <c r="IMA22" s="1773"/>
      <c r="IMB22" s="1773"/>
      <c r="IMC22" s="1773"/>
      <c r="IMD22" s="1773"/>
      <c r="IME22" s="1773"/>
      <c r="IMF22" s="1773"/>
      <c r="IMG22" s="1773"/>
      <c r="IMH22" s="1773"/>
      <c r="IMI22" s="1773"/>
      <c r="IMJ22" s="1773"/>
      <c r="IMK22" s="1773"/>
      <c r="IML22" s="1773"/>
      <c r="IMM22" s="1773"/>
      <c r="IMN22" s="1773"/>
      <c r="IMO22" s="1773"/>
      <c r="IMP22" s="1773"/>
      <c r="IMQ22" s="1773"/>
      <c r="IMR22" s="1773"/>
      <c r="IMS22" s="1773"/>
      <c r="IMT22" s="1773"/>
      <c r="IMU22" s="1773"/>
      <c r="IMV22" s="1773"/>
      <c r="IMW22" s="1773"/>
      <c r="IMX22" s="1773"/>
      <c r="IMY22" s="1773"/>
      <c r="IMZ22" s="1773"/>
      <c r="INA22" s="1773"/>
      <c r="INB22" s="1773"/>
      <c r="INC22" s="1773"/>
      <c r="IND22" s="1773"/>
      <c r="INE22" s="1773"/>
      <c r="INF22" s="1773"/>
      <c r="ING22" s="1773"/>
      <c r="INH22" s="1773"/>
      <c r="INI22" s="1773"/>
      <c r="INJ22" s="1773"/>
      <c r="INK22" s="1773"/>
      <c r="INL22" s="1773"/>
      <c r="INM22" s="1773"/>
      <c r="INN22" s="1773"/>
      <c r="INO22" s="1773"/>
      <c r="INP22" s="1773"/>
      <c r="INQ22" s="1773"/>
      <c r="INR22" s="1773"/>
      <c r="INS22" s="1773"/>
      <c r="INT22" s="1773"/>
      <c r="INU22" s="1773"/>
      <c r="INV22" s="1773"/>
      <c r="INW22" s="1773"/>
      <c r="INX22" s="1773"/>
      <c r="INY22" s="1773"/>
      <c r="INZ22" s="1773"/>
      <c r="IOA22" s="1773"/>
      <c r="IOB22" s="1773"/>
      <c r="IOC22" s="1773"/>
      <c r="IOD22" s="1773"/>
      <c r="IOE22" s="1773"/>
      <c r="IOF22" s="1773"/>
      <c r="IOG22" s="1773"/>
      <c r="IOH22" s="1773"/>
      <c r="IOI22" s="1773"/>
      <c r="IOJ22" s="1773"/>
      <c r="IOK22" s="1773"/>
      <c r="IOL22" s="1773"/>
      <c r="IOM22" s="1773"/>
      <c r="ION22" s="1773"/>
      <c r="IOO22" s="1773"/>
      <c r="IOP22" s="1773"/>
      <c r="IOQ22" s="1773"/>
      <c r="IOR22" s="1773"/>
      <c r="IOS22" s="1773"/>
      <c r="IOT22" s="1773"/>
      <c r="IOU22" s="1773"/>
      <c r="IOV22" s="1773"/>
      <c r="IOW22" s="1773"/>
      <c r="IOX22" s="1773"/>
      <c r="IOY22" s="1773"/>
      <c r="IOZ22" s="1773"/>
      <c r="IPA22" s="1773"/>
      <c r="IPB22" s="1773"/>
      <c r="IPC22" s="1773"/>
      <c r="IPD22" s="1773"/>
      <c r="IPE22" s="1773"/>
      <c r="IPF22" s="1773"/>
      <c r="IPG22" s="1773"/>
      <c r="IPH22" s="1773"/>
      <c r="IPI22" s="1773"/>
      <c r="IPJ22" s="1773"/>
      <c r="IPK22" s="1773"/>
      <c r="IPL22" s="1773"/>
      <c r="IPM22" s="1773"/>
      <c r="IPN22" s="1773"/>
      <c r="IPO22" s="1773"/>
      <c r="IPP22" s="1773"/>
      <c r="IPQ22" s="1773"/>
      <c r="IPR22" s="1773"/>
      <c r="IPS22" s="1773"/>
      <c r="IPT22" s="1773"/>
      <c r="IPU22" s="1773"/>
      <c r="IPV22" s="1773"/>
      <c r="IPW22" s="1773"/>
      <c r="IPX22" s="1773"/>
      <c r="IPY22" s="1773"/>
      <c r="IPZ22" s="1773"/>
      <c r="IQA22" s="1773"/>
      <c r="IQB22" s="1773"/>
      <c r="IQC22" s="1773"/>
      <c r="IQD22" s="1773"/>
      <c r="IQE22" s="1773"/>
      <c r="IQF22" s="1773"/>
      <c r="IQG22" s="1773"/>
      <c r="IQH22" s="1773"/>
      <c r="IQI22" s="1773"/>
      <c r="IQJ22" s="1773"/>
      <c r="IQK22" s="1773"/>
      <c r="IQL22" s="1773"/>
      <c r="IQM22" s="1773"/>
      <c r="IQN22" s="1773"/>
      <c r="IQO22" s="1773"/>
      <c r="IQP22" s="1773"/>
      <c r="IQQ22" s="1773"/>
      <c r="IQR22" s="1773"/>
      <c r="IQS22" s="1773"/>
      <c r="IQT22" s="1773"/>
      <c r="IQU22" s="1773"/>
      <c r="IQV22" s="1773"/>
      <c r="IQW22" s="1773"/>
      <c r="IQX22" s="1773"/>
      <c r="IQY22" s="1773"/>
      <c r="IQZ22" s="1773"/>
      <c r="IRA22" s="1773"/>
      <c r="IRB22" s="1773"/>
      <c r="IRC22" s="1773"/>
      <c r="IRD22" s="1773"/>
      <c r="IRE22" s="1773"/>
      <c r="IRF22" s="1773"/>
      <c r="IRG22" s="1773"/>
      <c r="IRH22" s="1773"/>
      <c r="IRI22" s="1773"/>
      <c r="IRJ22" s="1773"/>
      <c r="IRK22" s="1773"/>
      <c r="IRL22" s="1773"/>
      <c r="IRM22" s="1773"/>
      <c r="IRN22" s="1773"/>
      <c r="IRO22" s="1773"/>
      <c r="IRP22" s="1773"/>
      <c r="IRQ22" s="1773"/>
      <c r="IRR22" s="1773"/>
      <c r="IRS22" s="1773"/>
      <c r="IRT22" s="1773"/>
      <c r="IRU22" s="1773"/>
      <c r="IRV22" s="1773"/>
      <c r="IRW22" s="1773"/>
      <c r="IRX22" s="1773"/>
      <c r="IRY22" s="1773"/>
      <c r="IRZ22" s="1773"/>
      <c r="ISA22" s="1773"/>
      <c r="ISB22" s="1773"/>
      <c r="ISC22" s="1773"/>
      <c r="ISD22" s="1773"/>
      <c r="ISE22" s="1773"/>
      <c r="ISF22" s="1773"/>
      <c r="ISG22" s="1773"/>
      <c r="ISH22" s="1773"/>
      <c r="ISI22" s="1773"/>
      <c r="ISJ22" s="1773"/>
      <c r="ISK22" s="1773"/>
      <c r="ISL22" s="1773"/>
      <c r="ISM22" s="1773"/>
      <c r="ISN22" s="1773"/>
      <c r="ISO22" s="1773"/>
      <c r="ISP22" s="1773"/>
      <c r="ISQ22" s="1773"/>
      <c r="ISR22" s="1773"/>
      <c r="ISS22" s="1773"/>
      <c r="IST22" s="1773"/>
      <c r="ISU22" s="1773"/>
      <c r="ISV22" s="1773"/>
      <c r="ISW22" s="1773"/>
      <c r="ISX22" s="1773"/>
      <c r="ISY22" s="1773"/>
      <c r="ISZ22" s="1773"/>
      <c r="ITA22" s="1773"/>
      <c r="ITB22" s="1773"/>
      <c r="ITC22" s="1773"/>
      <c r="ITD22" s="1773"/>
      <c r="ITE22" s="1773"/>
      <c r="ITF22" s="1773"/>
      <c r="ITG22" s="1773"/>
      <c r="ITH22" s="1773"/>
      <c r="ITI22" s="1773"/>
      <c r="ITJ22" s="1773"/>
      <c r="ITK22" s="1773"/>
      <c r="ITL22" s="1773"/>
      <c r="ITM22" s="1773"/>
      <c r="ITN22" s="1773"/>
      <c r="ITO22" s="1773"/>
      <c r="ITP22" s="1773"/>
      <c r="ITQ22" s="1773"/>
      <c r="ITR22" s="1773"/>
      <c r="ITS22" s="1773"/>
      <c r="ITT22" s="1773"/>
      <c r="ITU22" s="1773"/>
      <c r="ITV22" s="1773"/>
      <c r="ITW22" s="1773"/>
      <c r="ITX22" s="1773"/>
      <c r="ITY22" s="1773"/>
      <c r="ITZ22" s="1773"/>
      <c r="IUA22" s="1773"/>
      <c r="IUB22" s="1773"/>
      <c r="IUC22" s="1773"/>
      <c r="IUD22" s="1773"/>
      <c r="IUE22" s="1773"/>
      <c r="IUF22" s="1773"/>
      <c r="IUG22" s="1773"/>
      <c r="IUH22" s="1773"/>
      <c r="IUI22" s="1773"/>
      <c r="IUJ22" s="1773"/>
      <c r="IUK22" s="1773"/>
      <c r="IUL22" s="1773"/>
      <c r="IUM22" s="1773"/>
      <c r="IUN22" s="1773"/>
      <c r="IUO22" s="1773"/>
      <c r="IUP22" s="1773"/>
      <c r="IUQ22" s="1773"/>
      <c r="IUR22" s="1773"/>
      <c r="IUS22" s="1773"/>
      <c r="IUT22" s="1773"/>
      <c r="IUU22" s="1773"/>
      <c r="IUV22" s="1773"/>
      <c r="IUW22" s="1773"/>
      <c r="IUX22" s="1773"/>
      <c r="IUY22" s="1773"/>
      <c r="IUZ22" s="1773"/>
      <c r="IVA22" s="1773"/>
      <c r="IVB22" s="1773"/>
      <c r="IVC22" s="1773"/>
      <c r="IVD22" s="1773"/>
      <c r="IVE22" s="1773"/>
      <c r="IVF22" s="1773"/>
      <c r="IVG22" s="1773"/>
      <c r="IVH22" s="1773"/>
      <c r="IVI22" s="1773"/>
      <c r="IVJ22" s="1773"/>
      <c r="IVK22" s="1773"/>
      <c r="IVL22" s="1773"/>
      <c r="IVM22" s="1773"/>
      <c r="IVN22" s="1773"/>
      <c r="IVO22" s="1773"/>
      <c r="IVP22" s="1773"/>
      <c r="IVQ22" s="1773"/>
      <c r="IVR22" s="1773"/>
      <c r="IVS22" s="1773"/>
      <c r="IVT22" s="1773"/>
      <c r="IVU22" s="1773"/>
      <c r="IVV22" s="1773"/>
      <c r="IVW22" s="1773"/>
      <c r="IVX22" s="1773"/>
      <c r="IVY22" s="1773"/>
      <c r="IVZ22" s="1773"/>
      <c r="IWA22" s="1773"/>
      <c r="IWB22" s="1773"/>
      <c r="IWC22" s="1773"/>
      <c r="IWD22" s="1773"/>
      <c r="IWE22" s="1773"/>
      <c r="IWF22" s="1773"/>
      <c r="IWG22" s="1773"/>
      <c r="IWH22" s="1773"/>
      <c r="IWI22" s="1773"/>
      <c r="IWJ22" s="1773"/>
      <c r="IWK22" s="1773"/>
      <c r="IWL22" s="1773"/>
      <c r="IWM22" s="1773"/>
      <c r="IWN22" s="1773"/>
      <c r="IWO22" s="1773"/>
      <c r="IWP22" s="1773"/>
      <c r="IWQ22" s="1773"/>
      <c r="IWR22" s="1773"/>
      <c r="IWS22" s="1773"/>
      <c r="IWT22" s="1773"/>
      <c r="IWU22" s="1773"/>
      <c r="IWV22" s="1773"/>
      <c r="IWW22" s="1773"/>
      <c r="IWX22" s="1773"/>
      <c r="IWY22" s="1773"/>
      <c r="IWZ22" s="1773"/>
      <c r="IXA22" s="1773"/>
      <c r="IXB22" s="1773"/>
      <c r="IXC22" s="1773"/>
      <c r="IXD22" s="1773"/>
      <c r="IXE22" s="1773"/>
      <c r="IXF22" s="1773"/>
      <c r="IXG22" s="1773"/>
      <c r="IXH22" s="1773"/>
      <c r="IXI22" s="1773"/>
      <c r="IXJ22" s="1773"/>
      <c r="IXK22" s="1773"/>
      <c r="IXL22" s="1773"/>
      <c r="IXM22" s="1773"/>
      <c r="IXN22" s="1773"/>
      <c r="IXO22" s="1773"/>
      <c r="IXP22" s="1773"/>
      <c r="IXQ22" s="1773"/>
      <c r="IXR22" s="1773"/>
      <c r="IXS22" s="1773"/>
      <c r="IXT22" s="1773"/>
      <c r="IXU22" s="1773"/>
      <c r="IXV22" s="1773"/>
      <c r="IXW22" s="1773"/>
      <c r="IXX22" s="1773"/>
      <c r="IXY22" s="1773"/>
      <c r="IXZ22" s="1773"/>
      <c r="IYA22" s="1773"/>
      <c r="IYB22" s="1773"/>
      <c r="IYC22" s="1773"/>
      <c r="IYD22" s="1773"/>
      <c r="IYE22" s="1773"/>
      <c r="IYF22" s="1773"/>
      <c r="IYG22" s="1773"/>
      <c r="IYH22" s="1773"/>
      <c r="IYI22" s="1773"/>
      <c r="IYJ22" s="1773"/>
      <c r="IYK22" s="1773"/>
      <c r="IYL22" s="1773"/>
      <c r="IYM22" s="1773"/>
      <c r="IYN22" s="1773"/>
      <c r="IYO22" s="1773"/>
      <c r="IYP22" s="1773"/>
      <c r="IYQ22" s="1773"/>
      <c r="IYR22" s="1773"/>
      <c r="IYS22" s="1773"/>
      <c r="IYT22" s="1773"/>
      <c r="IYU22" s="1773"/>
      <c r="IYV22" s="1773"/>
      <c r="IYW22" s="1773"/>
      <c r="IYX22" s="1773"/>
      <c r="IYY22" s="1773"/>
      <c r="IYZ22" s="1773"/>
      <c r="IZA22" s="1773"/>
      <c r="IZB22" s="1773"/>
      <c r="IZC22" s="1773"/>
      <c r="IZD22" s="1773"/>
      <c r="IZE22" s="1773"/>
      <c r="IZF22" s="1773"/>
      <c r="IZG22" s="1773"/>
      <c r="IZH22" s="1773"/>
      <c r="IZI22" s="1773"/>
      <c r="IZJ22" s="1773"/>
      <c r="IZK22" s="1773"/>
      <c r="IZL22" s="1773"/>
      <c r="IZM22" s="1773"/>
      <c r="IZN22" s="1773"/>
      <c r="IZO22" s="1773"/>
      <c r="IZP22" s="1773"/>
      <c r="IZQ22" s="1773"/>
      <c r="IZR22" s="1773"/>
      <c r="IZS22" s="1773"/>
      <c r="IZT22" s="1773"/>
      <c r="IZU22" s="1773"/>
      <c r="IZV22" s="1773"/>
      <c r="IZW22" s="1773"/>
      <c r="IZX22" s="1773"/>
      <c r="IZY22" s="1773"/>
      <c r="IZZ22" s="1773"/>
      <c r="JAA22" s="1773"/>
      <c r="JAB22" s="1773"/>
      <c r="JAC22" s="1773"/>
      <c r="JAD22" s="1773"/>
      <c r="JAE22" s="1773"/>
      <c r="JAF22" s="1773"/>
      <c r="JAG22" s="1773"/>
      <c r="JAH22" s="1773"/>
      <c r="JAI22" s="1773"/>
      <c r="JAJ22" s="1773"/>
      <c r="JAK22" s="1773"/>
      <c r="JAL22" s="1773"/>
      <c r="JAM22" s="1773"/>
      <c r="JAN22" s="1773"/>
      <c r="JAO22" s="1773"/>
      <c r="JAP22" s="1773"/>
      <c r="JAQ22" s="1773"/>
      <c r="JAR22" s="1773"/>
      <c r="JAS22" s="1773"/>
      <c r="JAT22" s="1773"/>
      <c r="JAU22" s="1773"/>
      <c r="JAV22" s="1773"/>
      <c r="JAW22" s="1773"/>
      <c r="JAX22" s="1773"/>
      <c r="JAY22" s="1773"/>
      <c r="JAZ22" s="1773"/>
      <c r="JBA22" s="1773"/>
      <c r="JBB22" s="1773"/>
      <c r="JBC22" s="1773"/>
      <c r="JBD22" s="1773"/>
      <c r="JBE22" s="1773"/>
      <c r="JBF22" s="1773"/>
      <c r="JBG22" s="1773"/>
      <c r="JBH22" s="1773"/>
      <c r="JBI22" s="1773"/>
      <c r="JBJ22" s="1773"/>
      <c r="JBK22" s="1773"/>
      <c r="JBL22" s="1773"/>
      <c r="JBM22" s="1773"/>
      <c r="JBN22" s="1773"/>
      <c r="JBO22" s="1773"/>
      <c r="JBP22" s="1773"/>
      <c r="JBQ22" s="1773"/>
      <c r="JBR22" s="1773"/>
      <c r="JBS22" s="1773"/>
      <c r="JBT22" s="1773"/>
      <c r="JBU22" s="1773"/>
      <c r="JBV22" s="1773"/>
      <c r="JBW22" s="1773"/>
      <c r="JBX22" s="1773"/>
      <c r="JBY22" s="1773"/>
      <c r="JBZ22" s="1773"/>
      <c r="JCA22" s="1773"/>
      <c r="JCB22" s="1773"/>
      <c r="JCC22" s="1773"/>
      <c r="JCD22" s="1773"/>
      <c r="JCE22" s="1773"/>
      <c r="JCF22" s="1773"/>
      <c r="JCG22" s="1773"/>
      <c r="JCH22" s="1773"/>
      <c r="JCI22" s="1773"/>
      <c r="JCJ22" s="1773"/>
      <c r="JCK22" s="1773"/>
      <c r="JCL22" s="1773"/>
      <c r="JCM22" s="1773"/>
      <c r="JCN22" s="1773"/>
      <c r="JCO22" s="1773"/>
      <c r="JCP22" s="1773"/>
      <c r="JCQ22" s="1773"/>
      <c r="JCR22" s="1773"/>
      <c r="JCS22" s="1773"/>
      <c r="JCT22" s="1773"/>
      <c r="JCU22" s="1773"/>
      <c r="JCV22" s="1773"/>
      <c r="JCW22" s="1773"/>
      <c r="JCX22" s="1773"/>
      <c r="JCY22" s="1773"/>
      <c r="JCZ22" s="1773"/>
      <c r="JDA22" s="1773"/>
      <c r="JDB22" s="1773"/>
      <c r="JDC22" s="1773"/>
      <c r="JDD22" s="1773"/>
      <c r="JDE22" s="1773"/>
      <c r="JDF22" s="1773"/>
      <c r="JDG22" s="1773"/>
      <c r="JDH22" s="1773"/>
      <c r="JDI22" s="1773"/>
      <c r="JDJ22" s="1773"/>
      <c r="JDK22" s="1773"/>
      <c r="JDL22" s="1773"/>
      <c r="JDM22" s="1773"/>
      <c r="JDN22" s="1773"/>
      <c r="JDO22" s="1773"/>
      <c r="JDP22" s="1773"/>
      <c r="JDQ22" s="1773"/>
      <c r="JDR22" s="1773"/>
      <c r="JDS22" s="1773"/>
      <c r="JDT22" s="1773"/>
      <c r="JDU22" s="1773"/>
      <c r="JDV22" s="1773"/>
      <c r="JDW22" s="1773"/>
      <c r="JDX22" s="1773"/>
      <c r="JDY22" s="1773"/>
      <c r="JDZ22" s="1773"/>
      <c r="JEA22" s="1773"/>
      <c r="JEB22" s="1773"/>
      <c r="JEC22" s="1773"/>
      <c r="JED22" s="1773"/>
      <c r="JEE22" s="1773"/>
      <c r="JEF22" s="1773"/>
      <c r="JEG22" s="1773"/>
      <c r="JEH22" s="1773"/>
      <c r="JEI22" s="1773"/>
      <c r="JEJ22" s="1773"/>
      <c r="JEK22" s="1773"/>
      <c r="JEL22" s="1773"/>
      <c r="JEM22" s="1773"/>
      <c r="JEN22" s="1773"/>
      <c r="JEO22" s="1773"/>
      <c r="JEP22" s="1773"/>
      <c r="JEQ22" s="1773"/>
      <c r="JER22" s="1773"/>
      <c r="JES22" s="1773"/>
      <c r="JET22" s="1773"/>
      <c r="JEU22" s="1773"/>
      <c r="JEV22" s="1773"/>
      <c r="JEW22" s="1773"/>
      <c r="JEX22" s="1773"/>
      <c r="JEY22" s="1773"/>
      <c r="JEZ22" s="1773"/>
      <c r="JFA22" s="1773"/>
      <c r="JFB22" s="1773"/>
      <c r="JFC22" s="1773"/>
      <c r="JFD22" s="1773"/>
      <c r="JFE22" s="1773"/>
      <c r="JFF22" s="1773"/>
      <c r="JFG22" s="1773"/>
      <c r="JFH22" s="1773"/>
      <c r="JFI22" s="1773"/>
      <c r="JFJ22" s="1773"/>
      <c r="JFK22" s="1773"/>
      <c r="JFL22" s="1773"/>
      <c r="JFM22" s="1773"/>
      <c r="JFN22" s="1773"/>
      <c r="JFO22" s="1773"/>
      <c r="JFP22" s="1773"/>
      <c r="JFQ22" s="1773"/>
      <c r="JFR22" s="1773"/>
      <c r="JFS22" s="1773"/>
      <c r="JFT22" s="1773"/>
      <c r="JFU22" s="1773"/>
      <c r="JFV22" s="1773"/>
      <c r="JFW22" s="1773"/>
      <c r="JFX22" s="1773"/>
      <c r="JFY22" s="1773"/>
      <c r="JFZ22" s="1773"/>
      <c r="JGA22" s="1773"/>
      <c r="JGB22" s="1773"/>
      <c r="JGC22" s="1773"/>
      <c r="JGD22" s="1773"/>
      <c r="JGE22" s="1773"/>
      <c r="JGF22" s="1773"/>
      <c r="JGG22" s="1773"/>
      <c r="JGH22" s="1773"/>
      <c r="JGI22" s="1773"/>
      <c r="JGJ22" s="1773"/>
      <c r="JGK22" s="1773"/>
      <c r="JGL22" s="1773"/>
      <c r="JGM22" s="1773"/>
      <c r="JGN22" s="1773"/>
      <c r="JGO22" s="1773"/>
      <c r="JGP22" s="1773"/>
      <c r="JGQ22" s="1773"/>
      <c r="JGR22" s="1773"/>
      <c r="JGS22" s="1773"/>
      <c r="JGT22" s="1773"/>
      <c r="JGU22" s="1773"/>
      <c r="JGV22" s="1773"/>
      <c r="JGW22" s="1773"/>
      <c r="JGX22" s="1773"/>
      <c r="JGY22" s="1773"/>
      <c r="JGZ22" s="1773"/>
      <c r="JHA22" s="1773"/>
      <c r="JHB22" s="1773"/>
      <c r="JHC22" s="1773"/>
      <c r="JHD22" s="1773"/>
      <c r="JHE22" s="1773"/>
      <c r="JHF22" s="1773"/>
      <c r="JHG22" s="1773"/>
      <c r="JHH22" s="1773"/>
      <c r="JHI22" s="1773"/>
      <c r="JHJ22" s="1773"/>
      <c r="JHK22" s="1773"/>
      <c r="JHL22" s="1773"/>
      <c r="JHM22" s="1773"/>
      <c r="JHN22" s="1773"/>
      <c r="JHO22" s="1773"/>
      <c r="JHP22" s="1773"/>
      <c r="JHQ22" s="1773"/>
      <c r="JHR22" s="1773"/>
      <c r="JHS22" s="1773"/>
      <c r="JHT22" s="1773"/>
      <c r="JHU22" s="1773"/>
      <c r="JHV22" s="1773"/>
      <c r="JHW22" s="1773"/>
      <c r="JHX22" s="1773"/>
      <c r="JHY22" s="1773"/>
      <c r="JHZ22" s="1773"/>
      <c r="JIA22" s="1773"/>
      <c r="JIB22" s="1773"/>
      <c r="JIC22" s="1773"/>
      <c r="JID22" s="1773"/>
      <c r="JIE22" s="1773"/>
      <c r="JIF22" s="1773"/>
      <c r="JIG22" s="1773"/>
      <c r="JIH22" s="1773"/>
      <c r="JII22" s="1773"/>
      <c r="JIJ22" s="1773"/>
      <c r="JIK22" s="1773"/>
      <c r="JIL22" s="1773"/>
      <c r="JIM22" s="1773"/>
      <c r="JIN22" s="1773"/>
      <c r="JIO22" s="1773"/>
      <c r="JIP22" s="1773"/>
      <c r="JIQ22" s="1773"/>
      <c r="JIR22" s="1773"/>
      <c r="JIS22" s="1773"/>
      <c r="JIT22" s="1773"/>
      <c r="JIU22" s="1773"/>
      <c r="JIV22" s="1773"/>
      <c r="JIW22" s="1773"/>
      <c r="JIX22" s="1773"/>
      <c r="JIY22" s="1773"/>
      <c r="JIZ22" s="1773"/>
      <c r="JJA22" s="1773"/>
      <c r="JJB22" s="1773"/>
      <c r="JJC22" s="1773"/>
      <c r="JJD22" s="1773"/>
      <c r="JJE22" s="1773"/>
      <c r="JJF22" s="1773"/>
      <c r="JJG22" s="1773"/>
      <c r="JJH22" s="1773"/>
      <c r="JJI22" s="1773"/>
      <c r="JJJ22" s="1773"/>
      <c r="JJK22" s="1773"/>
      <c r="JJL22" s="1773"/>
      <c r="JJM22" s="1773"/>
      <c r="JJN22" s="1773"/>
      <c r="JJO22" s="1773"/>
      <c r="JJP22" s="1773"/>
      <c r="JJQ22" s="1773"/>
      <c r="JJR22" s="1773"/>
      <c r="JJS22" s="1773"/>
      <c r="JJT22" s="1773"/>
      <c r="JJU22" s="1773"/>
      <c r="JJV22" s="1773"/>
      <c r="JJW22" s="1773"/>
      <c r="JJX22" s="1773"/>
      <c r="JJY22" s="1773"/>
      <c r="JJZ22" s="1773"/>
      <c r="JKA22" s="1773"/>
      <c r="JKB22" s="1773"/>
      <c r="JKC22" s="1773"/>
      <c r="JKD22" s="1773"/>
      <c r="JKE22" s="1773"/>
      <c r="JKF22" s="1773"/>
      <c r="JKG22" s="1773"/>
      <c r="JKH22" s="1773"/>
      <c r="JKI22" s="1773"/>
      <c r="JKJ22" s="1773"/>
      <c r="JKK22" s="1773"/>
      <c r="JKL22" s="1773"/>
      <c r="JKM22" s="1773"/>
      <c r="JKN22" s="1773"/>
      <c r="JKO22" s="1773"/>
      <c r="JKP22" s="1773"/>
      <c r="JKQ22" s="1773"/>
      <c r="JKR22" s="1773"/>
      <c r="JKS22" s="1773"/>
      <c r="JKT22" s="1773"/>
      <c r="JKU22" s="1773"/>
      <c r="JKV22" s="1773"/>
      <c r="JKW22" s="1773"/>
      <c r="JKX22" s="1773"/>
      <c r="JKY22" s="1773"/>
      <c r="JKZ22" s="1773"/>
      <c r="JLA22" s="1773"/>
      <c r="JLB22" s="1773"/>
      <c r="JLC22" s="1773"/>
      <c r="JLD22" s="1773"/>
      <c r="JLE22" s="1773"/>
      <c r="JLF22" s="1773"/>
      <c r="JLG22" s="1773"/>
      <c r="JLH22" s="1773"/>
      <c r="JLI22" s="1773"/>
      <c r="JLJ22" s="1773"/>
      <c r="JLK22" s="1773"/>
      <c r="JLL22" s="1773"/>
      <c r="JLM22" s="1773"/>
      <c r="JLN22" s="1773"/>
      <c r="JLO22" s="1773"/>
      <c r="JLP22" s="1773"/>
      <c r="JLQ22" s="1773"/>
      <c r="JLR22" s="1773"/>
      <c r="JLS22" s="1773"/>
      <c r="JLT22" s="1773"/>
      <c r="JLU22" s="1773"/>
      <c r="JLV22" s="1773"/>
      <c r="JLW22" s="1773"/>
      <c r="JLX22" s="1773"/>
      <c r="JLY22" s="1773"/>
      <c r="JLZ22" s="1773"/>
      <c r="JMA22" s="1773"/>
      <c r="JMB22" s="1773"/>
      <c r="JMC22" s="1773"/>
      <c r="JMD22" s="1773"/>
      <c r="JME22" s="1773"/>
      <c r="JMF22" s="1773"/>
      <c r="JMG22" s="1773"/>
      <c r="JMH22" s="1773"/>
      <c r="JMI22" s="1773"/>
      <c r="JMJ22" s="1773"/>
      <c r="JMK22" s="1773"/>
      <c r="JML22" s="1773"/>
      <c r="JMM22" s="1773"/>
      <c r="JMN22" s="1773"/>
      <c r="JMO22" s="1773"/>
      <c r="JMP22" s="1773"/>
      <c r="JMQ22" s="1773"/>
      <c r="JMR22" s="1773"/>
      <c r="JMS22" s="1773"/>
      <c r="JMT22" s="1773"/>
      <c r="JMU22" s="1773"/>
      <c r="JMV22" s="1773"/>
      <c r="JMW22" s="1773"/>
      <c r="JMX22" s="1773"/>
      <c r="JMY22" s="1773"/>
      <c r="JMZ22" s="1773"/>
      <c r="JNA22" s="1773"/>
      <c r="JNB22" s="1773"/>
      <c r="JNC22" s="1773"/>
      <c r="JND22" s="1773"/>
      <c r="JNE22" s="1773"/>
      <c r="JNF22" s="1773"/>
      <c r="JNG22" s="1773"/>
      <c r="JNH22" s="1773"/>
      <c r="JNI22" s="1773"/>
      <c r="JNJ22" s="1773"/>
      <c r="JNK22" s="1773"/>
      <c r="JNL22" s="1773"/>
      <c r="JNM22" s="1773"/>
      <c r="JNN22" s="1773"/>
      <c r="JNO22" s="1773"/>
      <c r="JNP22" s="1773"/>
      <c r="JNQ22" s="1773"/>
      <c r="JNR22" s="1773"/>
      <c r="JNS22" s="1773"/>
      <c r="JNT22" s="1773"/>
      <c r="JNU22" s="1773"/>
      <c r="JNV22" s="1773"/>
      <c r="JNW22" s="1773"/>
      <c r="JNX22" s="1773"/>
      <c r="JNY22" s="1773"/>
      <c r="JNZ22" s="1773"/>
      <c r="JOA22" s="1773"/>
      <c r="JOB22" s="1773"/>
      <c r="JOC22" s="1773"/>
      <c r="JOD22" s="1773"/>
      <c r="JOE22" s="1773"/>
      <c r="JOF22" s="1773"/>
      <c r="JOG22" s="1773"/>
      <c r="JOH22" s="1773"/>
      <c r="JOI22" s="1773"/>
      <c r="JOJ22" s="1773"/>
      <c r="JOK22" s="1773"/>
      <c r="JOL22" s="1773"/>
      <c r="JOM22" s="1773"/>
      <c r="JON22" s="1773"/>
      <c r="JOO22" s="1773"/>
      <c r="JOP22" s="1773"/>
      <c r="JOQ22" s="1773"/>
      <c r="JOR22" s="1773"/>
      <c r="JOS22" s="1773"/>
      <c r="JOT22" s="1773"/>
      <c r="JOU22" s="1773"/>
      <c r="JOV22" s="1773"/>
      <c r="JOW22" s="1773"/>
      <c r="JOX22" s="1773"/>
      <c r="JOY22" s="1773"/>
      <c r="JOZ22" s="1773"/>
      <c r="JPA22" s="1773"/>
      <c r="JPB22" s="1773"/>
      <c r="JPC22" s="1773"/>
      <c r="JPD22" s="1773"/>
      <c r="JPE22" s="1773"/>
      <c r="JPF22" s="1773"/>
      <c r="JPG22" s="1773"/>
      <c r="JPH22" s="1773"/>
      <c r="JPI22" s="1773"/>
      <c r="JPJ22" s="1773"/>
      <c r="JPK22" s="1773"/>
      <c r="JPL22" s="1773"/>
      <c r="JPM22" s="1773"/>
      <c r="JPN22" s="1773"/>
      <c r="JPO22" s="1773"/>
      <c r="JPP22" s="1773"/>
      <c r="JPQ22" s="1773"/>
      <c r="JPR22" s="1773"/>
      <c r="JPS22" s="1773"/>
      <c r="JPT22" s="1773"/>
      <c r="JPU22" s="1773"/>
      <c r="JPV22" s="1773"/>
      <c r="JPW22" s="1773"/>
      <c r="JPX22" s="1773"/>
      <c r="JPY22" s="1773"/>
      <c r="JPZ22" s="1773"/>
      <c r="JQA22" s="1773"/>
      <c r="JQB22" s="1773"/>
      <c r="JQC22" s="1773"/>
      <c r="JQD22" s="1773"/>
      <c r="JQE22" s="1773"/>
      <c r="JQF22" s="1773"/>
      <c r="JQG22" s="1773"/>
      <c r="JQH22" s="1773"/>
      <c r="JQI22" s="1773"/>
      <c r="JQJ22" s="1773"/>
      <c r="JQK22" s="1773"/>
      <c r="JQL22" s="1773"/>
      <c r="JQM22" s="1773"/>
      <c r="JQN22" s="1773"/>
      <c r="JQO22" s="1773"/>
      <c r="JQP22" s="1773"/>
      <c r="JQQ22" s="1773"/>
      <c r="JQR22" s="1773"/>
      <c r="JQS22" s="1773"/>
      <c r="JQT22" s="1773"/>
      <c r="JQU22" s="1773"/>
      <c r="JQV22" s="1773"/>
      <c r="JQW22" s="1773"/>
      <c r="JQX22" s="1773"/>
      <c r="JQY22" s="1773"/>
      <c r="JQZ22" s="1773"/>
      <c r="JRA22" s="1773"/>
      <c r="JRB22" s="1773"/>
      <c r="JRC22" s="1773"/>
      <c r="JRD22" s="1773"/>
      <c r="JRE22" s="1773"/>
      <c r="JRF22" s="1773"/>
      <c r="JRG22" s="1773"/>
      <c r="JRH22" s="1773"/>
      <c r="JRI22" s="1773"/>
      <c r="JRJ22" s="1773"/>
      <c r="JRK22" s="1773"/>
      <c r="JRL22" s="1773"/>
      <c r="JRM22" s="1773"/>
      <c r="JRN22" s="1773"/>
      <c r="JRO22" s="1773"/>
      <c r="JRP22" s="1773"/>
      <c r="JRQ22" s="1773"/>
      <c r="JRR22" s="1773"/>
      <c r="JRS22" s="1773"/>
      <c r="JRT22" s="1773"/>
      <c r="JRU22" s="1773"/>
      <c r="JRV22" s="1773"/>
      <c r="JRW22" s="1773"/>
      <c r="JRX22" s="1773"/>
      <c r="JRY22" s="1773"/>
      <c r="JRZ22" s="1773"/>
      <c r="JSA22" s="1773"/>
      <c r="JSB22" s="1773"/>
      <c r="JSC22" s="1773"/>
      <c r="JSD22" s="1773"/>
      <c r="JSE22" s="1773"/>
      <c r="JSF22" s="1773"/>
      <c r="JSG22" s="1773"/>
      <c r="JSH22" s="1773"/>
      <c r="JSI22" s="1773"/>
      <c r="JSJ22" s="1773"/>
      <c r="JSK22" s="1773"/>
      <c r="JSL22" s="1773"/>
      <c r="JSM22" s="1773"/>
      <c r="JSN22" s="1773"/>
      <c r="JSO22" s="1773"/>
      <c r="JSP22" s="1773"/>
      <c r="JSQ22" s="1773"/>
      <c r="JSR22" s="1773"/>
      <c r="JSS22" s="1773"/>
      <c r="JST22" s="1773"/>
      <c r="JSU22" s="1773"/>
      <c r="JSV22" s="1773"/>
      <c r="JSW22" s="1773"/>
      <c r="JSX22" s="1773"/>
      <c r="JSY22" s="1773"/>
      <c r="JSZ22" s="1773"/>
      <c r="JTA22" s="1773"/>
      <c r="JTB22" s="1773"/>
      <c r="JTC22" s="1773"/>
      <c r="JTD22" s="1773"/>
      <c r="JTE22" s="1773"/>
      <c r="JTF22" s="1773"/>
      <c r="JTG22" s="1773"/>
      <c r="JTH22" s="1773"/>
      <c r="JTI22" s="1773"/>
      <c r="JTJ22" s="1773"/>
      <c r="JTK22" s="1773"/>
      <c r="JTL22" s="1773"/>
      <c r="JTM22" s="1773"/>
      <c r="JTN22" s="1773"/>
      <c r="JTO22" s="1773"/>
      <c r="JTP22" s="1773"/>
      <c r="JTQ22" s="1773"/>
      <c r="JTR22" s="1773"/>
      <c r="JTS22" s="1773"/>
      <c r="JTT22" s="1773"/>
      <c r="JTU22" s="1773"/>
      <c r="JTV22" s="1773"/>
      <c r="JTW22" s="1773"/>
      <c r="JTX22" s="1773"/>
      <c r="JTY22" s="1773"/>
      <c r="JTZ22" s="1773"/>
      <c r="JUA22" s="1773"/>
      <c r="JUB22" s="1773"/>
      <c r="JUC22" s="1773"/>
      <c r="JUD22" s="1773"/>
      <c r="JUE22" s="1773"/>
      <c r="JUF22" s="1773"/>
      <c r="JUG22" s="1773"/>
      <c r="JUH22" s="1773"/>
      <c r="JUI22" s="1773"/>
      <c r="JUJ22" s="1773"/>
      <c r="JUK22" s="1773"/>
      <c r="JUL22" s="1773"/>
      <c r="JUM22" s="1773"/>
      <c r="JUN22" s="1773"/>
      <c r="JUO22" s="1773"/>
      <c r="JUP22" s="1773"/>
      <c r="JUQ22" s="1773"/>
      <c r="JUR22" s="1773"/>
      <c r="JUS22" s="1773"/>
      <c r="JUT22" s="1773"/>
      <c r="JUU22" s="1773"/>
      <c r="JUV22" s="1773"/>
      <c r="JUW22" s="1773"/>
      <c r="JUX22" s="1773"/>
      <c r="JUY22" s="1773"/>
      <c r="JUZ22" s="1773"/>
      <c r="JVA22" s="1773"/>
      <c r="JVB22" s="1773"/>
      <c r="JVC22" s="1773"/>
      <c r="JVD22" s="1773"/>
      <c r="JVE22" s="1773"/>
      <c r="JVF22" s="1773"/>
      <c r="JVG22" s="1773"/>
      <c r="JVH22" s="1773"/>
      <c r="JVI22" s="1773"/>
      <c r="JVJ22" s="1773"/>
      <c r="JVK22" s="1773"/>
      <c r="JVL22" s="1773"/>
      <c r="JVM22" s="1773"/>
      <c r="JVN22" s="1773"/>
      <c r="JVO22" s="1773"/>
      <c r="JVP22" s="1773"/>
      <c r="JVQ22" s="1773"/>
      <c r="JVR22" s="1773"/>
      <c r="JVS22" s="1773"/>
      <c r="JVT22" s="1773"/>
      <c r="JVU22" s="1773"/>
      <c r="JVV22" s="1773"/>
      <c r="JVW22" s="1773"/>
      <c r="JVX22" s="1773"/>
      <c r="JVY22" s="1773"/>
      <c r="JVZ22" s="1773"/>
      <c r="JWA22" s="1773"/>
      <c r="JWB22" s="1773"/>
      <c r="JWC22" s="1773"/>
      <c r="JWD22" s="1773"/>
      <c r="JWE22" s="1773"/>
      <c r="JWF22" s="1773"/>
      <c r="JWG22" s="1773"/>
      <c r="JWH22" s="1773"/>
      <c r="JWI22" s="1773"/>
      <c r="JWJ22" s="1773"/>
      <c r="JWK22" s="1773"/>
      <c r="JWL22" s="1773"/>
      <c r="JWM22" s="1773"/>
      <c r="JWN22" s="1773"/>
      <c r="JWO22" s="1773"/>
      <c r="JWP22" s="1773"/>
      <c r="JWQ22" s="1773"/>
      <c r="JWR22" s="1773"/>
      <c r="JWS22" s="1773"/>
      <c r="JWT22" s="1773"/>
      <c r="JWU22" s="1773"/>
      <c r="JWV22" s="1773"/>
      <c r="JWW22" s="1773"/>
      <c r="JWX22" s="1773"/>
      <c r="JWY22" s="1773"/>
      <c r="JWZ22" s="1773"/>
      <c r="JXA22" s="1773"/>
      <c r="JXB22" s="1773"/>
      <c r="JXC22" s="1773"/>
      <c r="JXD22" s="1773"/>
      <c r="JXE22" s="1773"/>
      <c r="JXF22" s="1773"/>
      <c r="JXG22" s="1773"/>
      <c r="JXH22" s="1773"/>
      <c r="JXI22" s="1773"/>
      <c r="JXJ22" s="1773"/>
      <c r="JXK22" s="1773"/>
      <c r="JXL22" s="1773"/>
      <c r="JXM22" s="1773"/>
      <c r="JXN22" s="1773"/>
      <c r="JXO22" s="1773"/>
      <c r="JXP22" s="1773"/>
      <c r="JXQ22" s="1773"/>
      <c r="JXR22" s="1773"/>
      <c r="JXS22" s="1773"/>
      <c r="JXT22" s="1773"/>
      <c r="JXU22" s="1773"/>
      <c r="JXV22" s="1773"/>
      <c r="JXW22" s="1773"/>
      <c r="JXX22" s="1773"/>
      <c r="JXY22" s="1773"/>
      <c r="JXZ22" s="1773"/>
      <c r="JYA22" s="1773"/>
      <c r="JYB22" s="1773"/>
      <c r="JYC22" s="1773"/>
      <c r="JYD22" s="1773"/>
      <c r="JYE22" s="1773"/>
      <c r="JYF22" s="1773"/>
      <c r="JYG22" s="1773"/>
      <c r="JYH22" s="1773"/>
      <c r="JYI22" s="1773"/>
      <c r="JYJ22" s="1773"/>
      <c r="JYK22" s="1773"/>
      <c r="JYL22" s="1773"/>
      <c r="JYM22" s="1773"/>
      <c r="JYN22" s="1773"/>
      <c r="JYO22" s="1773"/>
      <c r="JYP22" s="1773"/>
      <c r="JYQ22" s="1773"/>
      <c r="JYR22" s="1773"/>
      <c r="JYS22" s="1773"/>
      <c r="JYT22" s="1773"/>
      <c r="JYU22" s="1773"/>
      <c r="JYV22" s="1773"/>
      <c r="JYW22" s="1773"/>
      <c r="JYX22" s="1773"/>
      <c r="JYY22" s="1773"/>
      <c r="JYZ22" s="1773"/>
      <c r="JZA22" s="1773"/>
      <c r="JZB22" s="1773"/>
      <c r="JZC22" s="1773"/>
      <c r="JZD22" s="1773"/>
      <c r="JZE22" s="1773"/>
      <c r="JZF22" s="1773"/>
      <c r="JZG22" s="1773"/>
      <c r="JZH22" s="1773"/>
      <c r="JZI22" s="1773"/>
      <c r="JZJ22" s="1773"/>
      <c r="JZK22" s="1773"/>
      <c r="JZL22" s="1773"/>
      <c r="JZM22" s="1773"/>
      <c r="JZN22" s="1773"/>
      <c r="JZO22" s="1773"/>
      <c r="JZP22" s="1773"/>
      <c r="JZQ22" s="1773"/>
      <c r="JZR22" s="1773"/>
      <c r="JZS22" s="1773"/>
      <c r="JZT22" s="1773"/>
      <c r="JZU22" s="1773"/>
      <c r="JZV22" s="1773"/>
      <c r="JZW22" s="1773"/>
      <c r="JZX22" s="1773"/>
      <c r="JZY22" s="1773"/>
      <c r="JZZ22" s="1773"/>
      <c r="KAA22" s="1773"/>
      <c r="KAB22" s="1773"/>
      <c r="KAC22" s="1773"/>
      <c r="KAD22" s="1773"/>
      <c r="KAE22" s="1773"/>
      <c r="KAF22" s="1773"/>
      <c r="KAG22" s="1773"/>
      <c r="KAH22" s="1773"/>
      <c r="KAI22" s="1773"/>
      <c r="KAJ22" s="1773"/>
      <c r="KAK22" s="1773"/>
      <c r="KAL22" s="1773"/>
      <c r="KAM22" s="1773"/>
      <c r="KAN22" s="1773"/>
      <c r="KAO22" s="1773"/>
      <c r="KAP22" s="1773"/>
      <c r="KAQ22" s="1773"/>
      <c r="KAR22" s="1773"/>
      <c r="KAS22" s="1773"/>
      <c r="KAT22" s="1773"/>
      <c r="KAU22" s="1773"/>
      <c r="KAV22" s="1773"/>
      <c r="KAW22" s="1773"/>
      <c r="KAX22" s="1773"/>
      <c r="KAY22" s="1773"/>
      <c r="KAZ22" s="1773"/>
      <c r="KBA22" s="1773"/>
      <c r="KBB22" s="1773"/>
      <c r="KBC22" s="1773"/>
      <c r="KBD22" s="1773"/>
      <c r="KBE22" s="1773"/>
      <c r="KBF22" s="1773"/>
      <c r="KBG22" s="1773"/>
      <c r="KBH22" s="1773"/>
      <c r="KBI22" s="1773"/>
      <c r="KBJ22" s="1773"/>
      <c r="KBK22" s="1773"/>
      <c r="KBL22" s="1773"/>
      <c r="KBM22" s="1773"/>
      <c r="KBN22" s="1773"/>
      <c r="KBO22" s="1773"/>
      <c r="KBP22" s="1773"/>
      <c r="KBQ22" s="1773"/>
      <c r="KBR22" s="1773"/>
      <c r="KBS22" s="1773"/>
      <c r="KBT22" s="1773"/>
      <c r="KBU22" s="1773"/>
      <c r="KBV22" s="1773"/>
      <c r="KBW22" s="1773"/>
      <c r="KBX22" s="1773"/>
      <c r="KBY22" s="1773"/>
      <c r="KBZ22" s="1773"/>
      <c r="KCA22" s="1773"/>
      <c r="KCB22" s="1773"/>
      <c r="KCC22" s="1773"/>
      <c r="KCD22" s="1773"/>
      <c r="KCE22" s="1773"/>
      <c r="KCF22" s="1773"/>
      <c r="KCG22" s="1773"/>
      <c r="KCH22" s="1773"/>
      <c r="KCI22" s="1773"/>
      <c r="KCJ22" s="1773"/>
      <c r="KCK22" s="1773"/>
      <c r="KCL22" s="1773"/>
      <c r="KCM22" s="1773"/>
      <c r="KCN22" s="1773"/>
      <c r="KCO22" s="1773"/>
      <c r="KCP22" s="1773"/>
      <c r="KCQ22" s="1773"/>
      <c r="KCR22" s="1773"/>
      <c r="KCS22" s="1773"/>
      <c r="KCT22" s="1773"/>
      <c r="KCU22" s="1773"/>
      <c r="KCV22" s="1773"/>
      <c r="KCW22" s="1773"/>
      <c r="KCX22" s="1773"/>
      <c r="KCY22" s="1773"/>
      <c r="KCZ22" s="1773"/>
      <c r="KDA22" s="1773"/>
      <c r="KDB22" s="1773"/>
      <c r="KDC22" s="1773"/>
      <c r="KDD22" s="1773"/>
      <c r="KDE22" s="1773"/>
      <c r="KDF22" s="1773"/>
      <c r="KDG22" s="1773"/>
      <c r="KDH22" s="1773"/>
      <c r="KDI22" s="1773"/>
      <c r="KDJ22" s="1773"/>
      <c r="KDK22" s="1773"/>
      <c r="KDL22" s="1773"/>
      <c r="KDM22" s="1773"/>
      <c r="KDN22" s="1773"/>
      <c r="KDO22" s="1773"/>
      <c r="KDP22" s="1773"/>
      <c r="KDQ22" s="1773"/>
      <c r="KDR22" s="1773"/>
      <c r="KDS22" s="1773"/>
      <c r="KDT22" s="1773"/>
      <c r="KDU22" s="1773"/>
      <c r="KDV22" s="1773"/>
      <c r="KDW22" s="1773"/>
      <c r="KDX22" s="1773"/>
      <c r="KDY22" s="1773"/>
      <c r="KDZ22" s="1773"/>
      <c r="KEA22" s="1773"/>
      <c r="KEB22" s="1773"/>
      <c r="KEC22" s="1773"/>
      <c r="KED22" s="1773"/>
      <c r="KEE22" s="1773"/>
      <c r="KEF22" s="1773"/>
      <c r="KEG22" s="1773"/>
      <c r="KEH22" s="1773"/>
      <c r="KEI22" s="1773"/>
      <c r="KEJ22" s="1773"/>
      <c r="KEK22" s="1773"/>
      <c r="KEL22" s="1773"/>
      <c r="KEM22" s="1773"/>
      <c r="KEN22" s="1773"/>
      <c r="KEO22" s="1773"/>
      <c r="KEP22" s="1773"/>
      <c r="KEQ22" s="1773"/>
      <c r="KER22" s="1773"/>
      <c r="KES22" s="1773"/>
      <c r="KET22" s="1773"/>
      <c r="KEU22" s="1773"/>
      <c r="KEV22" s="1773"/>
      <c r="KEW22" s="1773"/>
      <c r="KEX22" s="1773"/>
      <c r="KEY22" s="1773"/>
      <c r="KEZ22" s="1773"/>
      <c r="KFA22" s="1773"/>
      <c r="KFB22" s="1773"/>
      <c r="KFC22" s="1773"/>
      <c r="KFD22" s="1773"/>
      <c r="KFE22" s="1773"/>
      <c r="KFF22" s="1773"/>
      <c r="KFG22" s="1773"/>
      <c r="KFH22" s="1773"/>
      <c r="KFI22" s="1773"/>
      <c r="KFJ22" s="1773"/>
      <c r="KFK22" s="1773"/>
      <c r="KFL22" s="1773"/>
      <c r="KFM22" s="1773"/>
      <c r="KFN22" s="1773"/>
      <c r="KFO22" s="1773"/>
      <c r="KFP22" s="1773"/>
      <c r="KFQ22" s="1773"/>
      <c r="KFR22" s="1773"/>
      <c r="KFS22" s="1773"/>
      <c r="KFT22" s="1773"/>
      <c r="KFU22" s="1773"/>
      <c r="KFV22" s="1773"/>
      <c r="KFW22" s="1773"/>
      <c r="KFX22" s="1773"/>
      <c r="KFY22" s="1773"/>
      <c r="KFZ22" s="1773"/>
      <c r="KGA22" s="1773"/>
      <c r="KGB22" s="1773"/>
      <c r="KGC22" s="1773"/>
      <c r="KGD22" s="1773"/>
      <c r="KGE22" s="1773"/>
      <c r="KGF22" s="1773"/>
      <c r="KGG22" s="1773"/>
      <c r="KGH22" s="1773"/>
      <c r="KGI22" s="1773"/>
      <c r="KGJ22" s="1773"/>
      <c r="KGK22" s="1773"/>
      <c r="KGL22" s="1773"/>
      <c r="KGM22" s="1773"/>
      <c r="KGN22" s="1773"/>
      <c r="KGO22" s="1773"/>
      <c r="KGP22" s="1773"/>
      <c r="KGQ22" s="1773"/>
      <c r="KGR22" s="1773"/>
      <c r="KGS22" s="1773"/>
      <c r="KGT22" s="1773"/>
      <c r="KGU22" s="1773"/>
      <c r="KGV22" s="1773"/>
      <c r="KGW22" s="1773"/>
      <c r="KGX22" s="1773"/>
      <c r="KGY22" s="1773"/>
      <c r="KGZ22" s="1773"/>
      <c r="KHA22" s="1773"/>
      <c r="KHB22" s="1773"/>
      <c r="KHC22" s="1773"/>
      <c r="KHD22" s="1773"/>
      <c r="KHE22" s="1773"/>
      <c r="KHF22" s="1773"/>
      <c r="KHG22" s="1773"/>
      <c r="KHH22" s="1773"/>
      <c r="KHI22" s="1773"/>
      <c r="KHJ22" s="1773"/>
      <c r="KHK22" s="1773"/>
      <c r="KHL22" s="1773"/>
      <c r="KHM22" s="1773"/>
      <c r="KHN22" s="1773"/>
      <c r="KHO22" s="1773"/>
      <c r="KHP22" s="1773"/>
      <c r="KHQ22" s="1773"/>
      <c r="KHR22" s="1773"/>
      <c r="KHS22" s="1773"/>
      <c r="KHT22" s="1773"/>
      <c r="KHU22" s="1773"/>
      <c r="KHV22" s="1773"/>
      <c r="KHW22" s="1773"/>
      <c r="KHX22" s="1773"/>
      <c r="KHY22" s="1773"/>
      <c r="KHZ22" s="1773"/>
      <c r="KIA22" s="1773"/>
      <c r="KIB22" s="1773"/>
      <c r="KIC22" s="1773"/>
      <c r="KID22" s="1773"/>
      <c r="KIE22" s="1773"/>
      <c r="KIF22" s="1773"/>
      <c r="KIG22" s="1773"/>
      <c r="KIH22" s="1773"/>
      <c r="KII22" s="1773"/>
      <c r="KIJ22" s="1773"/>
      <c r="KIK22" s="1773"/>
      <c r="KIL22" s="1773"/>
      <c r="KIM22" s="1773"/>
      <c r="KIN22" s="1773"/>
      <c r="KIO22" s="1773"/>
      <c r="KIP22" s="1773"/>
      <c r="KIQ22" s="1773"/>
      <c r="KIR22" s="1773"/>
      <c r="KIS22" s="1773"/>
      <c r="KIT22" s="1773"/>
      <c r="KIU22" s="1773"/>
      <c r="KIV22" s="1773"/>
      <c r="KIW22" s="1773"/>
      <c r="KIX22" s="1773"/>
      <c r="KIY22" s="1773"/>
      <c r="KIZ22" s="1773"/>
      <c r="KJA22" s="1773"/>
      <c r="KJB22" s="1773"/>
      <c r="KJC22" s="1773"/>
      <c r="KJD22" s="1773"/>
      <c r="KJE22" s="1773"/>
      <c r="KJF22" s="1773"/>
      <c r="KJG22" s="1773"/>
      <c r="KJH22" s="1773"/>
      <c r="KJI22" s="1773"/>
      <c r="KJJ22" s="1773"/>
      <c r="KJK22" s="1773"/>
      <c r="KJL22" s="1773"/>
      <c r="KJM22" s="1773"/>
      <c r="KJN22" s="1773"/>
      <c r="KJO22" s="1773"/>
      <c r="KJP22" s="1773"/>
      <c r="KJQ22" s="1773"/>
      <c r="KJR22" s="1773"/>
      <c r="KJS22" s="1773"/>
      <c r="KJT22" s="1773"/>
      <c r="KJU22" s="1773"/>
      <c r="KJV22" s="1773"/>
      <c r="KJW22" s="1773"/>
      <c r="KJX22" s="1773"/>
      <c r="KJY22" s="1773"/>
      <c r="KJZ22" s="1773"/>
      <c r="KKA22" s="1773"/>
      <c r="KKB22" s="1773"/>
      <c r="KKC22" s="1773"/>
      <c r="KKD22" s="1773"/>
      <c r="KKE22" s="1773"/>
      <c r="KKF22" s="1773"/>
      <c r="KKG22" s="1773"/>
      <c r="KKH22" s="1773"/>
      <c r="KKI22" s="1773"/>
      <c r="KKJ22" s="1773"/>
      <c r="KKK22" s="1773"/>
      <c r="KKL22" s="1773"/>
      <c r="KKM22" s="1773"/>
      <c r="KKN22" s="1773"/>
      <c r="KKO22" s="1773"/>
      <c r="KKP22" s="1773"/>
      <c r="KKQ22" s="1773"/>
      <c r="KKR22" s="1773"/>
      <c r="KKS22" s="1773"/>
      <c r="KKT22" s="1773"/>
      <c r="KKU22" s="1773"/>
      <c r="KKV22" s="1773"/>
      <c r="KKW22" s="1773"/>
      <c r="KKX22" s="1773"/>
      <c r="KKY22" s="1773"/>
      <c r="KKZ22" s="1773"/>
      <c r="KLA22" s="1773"/>
      <c r="KLB22" s="1773"/>
      <c r="KLC22" s="1773"/>
      <c r="KLD22" s="1773"/>
      <c r="KLE22" s="1773"/>
      <c r="KLF22" s="1773"/>
      <c r="KLG22" s="1773"/>
      <c r="KLH22" s="1773"/>
      <c r="KLI22" s="1773"/>
      <c r="KLJ22" s="1773"/>
      <c r="KLK22" s="1773"/>
      <c r="KLL22" s="1773"/>
      <c r="KLM22" s="1773"/>
      <c r="KLN22" s="1773"/>
      <c r="KLO22" s="1773"/>
      <c r="KLP22" s="1773"/>
      <c r="KLQ22" s="1773"/>
      <c r="KLR22" s="1773"/>
      <c r="KLS22" s="1773"/>
      <c r="KLT22" s="1773"/>
      <c r="KLU22" s="1773"/>
      <c r="KLV22" s="1773"/>
      <c r="KLW22" s="1773"/>
      <c r="KLX22" s="1773"/>
      <c r="KLY22" s="1773"/>
      <c r="KLZ22" s="1773"/>
      <c r="KMA22" s="1773"/>
      <c r="KMB22" s="1773"/>
      <c r="KMC22" s="1773"/>
      <c r="KMD22" s="1773"/>
      <c r="KME22" s="1773"/>
      <c r="KMF22" s="1773"/>
      <c r="KMG22" s="1773"/>
      <c r="KMH22" s="1773"/>
      <c r="KMI22" s="1773"/>
      <c r="KMJ22" s="1773"/>
      <c r="KMK22" s="1773"/>
      <c r="KML22" s="1773"/>
      <c r="KMM22" s="1773"/>
      <c r="KMN22" s="1773"/>
      <c r="KMO22" s="1773"/>
      <c r="KMP22" s="1773"/>
      <c r="KMQ22" s="1773"/>
      <c r="KMR22" s="1773"/>
      <c r="KMS22" s="1773"/>
      <c r="KMT22" s="1773"/>
      <c r="KMU22" s="1773"/>
      <c r="KMV22" s="1773"/>
      <c r="KMW22" s="1773"/>
      <c r="KMX22" s="1773"/>
      <c r="KMY22" s="1773"/>
      <c r="KMZ22" s="1773"/>
      <c r="KNA22" s="1773"/>
      <c r="KNB22" s="1773"/>
      <c r="KNC22" s="1773"/>
      <c r="KND22" s="1773"/>
      <c r="KNE22" s="1773"/>
      <c r="KNF22" s="1773"/>
      <c r="KNG22" s="1773"/>
      <c r="KNH22" s="1773"/>
      <c r="KNI22" s="1773"/>
      <c r="KNJ22" s="1773"/>
      <c r="KNK22" s="1773"/>
      <c r="KNL22" s="1773"/>
      <c r="KNM22" s="1773"/>
      <c r="KNN22" s="1773"/>
      <c r="KNO22" s="1773"/>
      <c r="KNP22" s="1773"/>
      <c r="KNQ22" s="1773"/>
      <c r="KNR22" s="1773"/>
      <c r="KNS22" s="1773"/>
      <c r="KNT22" s="1773"/>
      <c r="KNU22" s="1773"/>
      <c r="KNV22" s="1773"/>
      <c r="KNW22" s="1773"/>
      <c r="KNX22" s="1773"/>
      <c r="KNY22" s="1773"/>
      <c r="KNZ22" s="1773"/>
      <c r="KOA22" s="1773"/>
      <c r="KOB22" s="1773"/>
      <c r="KOC22" s="1773"/>
      <c r="KOD22" s="1773"/>
      <c r="KOE22" s="1773"/>
      <c r="KOF22" s="1773"/>
      <c r="KOG22" s="1773"/>
      <c r="KOH22" s="1773"/>
      <c r="KOI22" s="1773"/>
      <c r="KOJ22" s="1773"/>
      <c r="KOK22" s="1773"/>
      <c r="KOL22" s="1773"/>
      <c r="KOM22" s="1773"/>
      <c r="KON22" s="1773"/>
      <c r="KOO22" s="1773"/>
      <c r="KOP22" s="1773"/>
      <c r="KOQ22" s="1773"/>
      <c r="KOR22" s="1773"/>
      <c r="KOS22" s="1773"/>
      <c r="KOT22" s="1773"/>
      <c r="KOU22" s="1773"/>
      <c r="KOV22" s="1773"/>
      <c r="KOW22" s="1773"/>
      <c r="KOX22" s="1773"/>
      <c r="KOY22" s="1773"/>
      <c r="KOZ22" s="1773"/>
      <c r="KPA22" s="1773"/>
      <c r="KPB22" s="1773"/>
      <c r="KPC22" s="1773"/>
      <c r="KPD22" s="1773"/>
      <c r="KPE22" s="1773"/>
      <c r="KPF22" s="1773"/>
      <c r="KPG22" s="1773"/>
      <c r="KPH22" s="1773"/>
      <c r="KPI22" s="1773"/>
      <c r="KPJ22" s="1773"/>
      <c r="KPK22" s="1773"/>
      <c r="KPL22" s="1773"/>
      <c r="KPM22" s="1773"/>
      <c r="KPN22" s="1773"/>
      <c r="KPO22" s="1773"/>
      <c r="KPP22" s="1773"/>
      <c r="KPQ22" s="1773"/>
      <c r="KPR22" s="1773"/>
      <c r="KPS22" s="1773"/>
      <c r="KPT22" s="1773"/>
      <c r="KPU22" s="1773"/>
      <c r="KPV22" s="1773"/>
      <c r="KPW22" s="1773"/>
      <c r="KPX22" s="1773"/>
      <c r="KPY22" s="1773"/>
      <c r="KPZ22" s="1773"/>
      <c r="KQA22" s="1773"/>
      <c r="KQB22" s="1773"/>
      <c r="KQC22" s="1773"/>
      <c r="KQD22" s="1773"/>
      <c r="KQE22" s="1773"/>
      <c r="KQF22" s="1773"/>
      <c r="KQG22" s="1773"/>
      <c r="KQH22" s="1773"/>
      <c r="KQI22" s="1773"/>
      <c r="KQJ22" s="1773"/>
      <c r="KQK22" s="1773"/>
      <c r="KQL22" s="1773"/>
      <c r="KQM22" s="1773"/>
      <c r="KQN22" s="1773"/>
      <c r="KQO22" s="1773"/>
      <c r="KQP22" s="1773"/>
      <c r="KQQ22" s="1773"/>
      <c r="KQR22" s="1773"/>
      <c r="KQS22" s="1773"/>
      <c r="KQT22" s="1773"/>
      <c r="KQU22" s="1773"/>
      <c r="KQV22" s="1773"/>
      <c r="KQW22" s="1773"/>
      <c r="KQX22" s="1773"/>
      <c r="KQY22" s="1773"/>
      <c r="KQZ22" s="1773"/>
      <c r="KRA22" s="1773"/>
      <c r="KRB22" s="1773"/>
      <c r="KRC22" s="1773"/>
      <c r="KRD22" s="1773"/>
      <c r="KRE22" s="1773"/>
      <c r="KRF22" s="1773"/>
      <c r="KRG22" s="1773"/>
      <c r="KRH22" s="1773"/>
      <c r="KRI22" s="1773"/>
      <c r="KRJ22" s="1773"/>
      <c r="KRK22" s="1773"/>
      <c r="KRL22" s="1773"/>
      <c r="KRM22" s="1773"/>
      <c r="KRN22" s="1773"/>
      <c r="KRO22" s="1773"/>
      <c r="KRP22" s="1773"/>
      <c r="KRQ22" s="1773"/>
      <c r="KRR22" s="1773"/>
      <c r="KRS22" s="1773"/>
      <c r="KRT22" s="1773"/>
      <c r="KRU22" s="1773"/>
      <c r="KRV22" s="1773"/>
      <c r="KRW22" s="1773"/>
      <c r="KRX22" s="1773"/>
      <c r="KRY22" s="1773"/>
      <c r="KRZ22" s="1773"/>
      <c r="KSA22" s="1773"/>
      <c r="KSB22" s="1773"/>
      <c r="KSC22" s="1773"/>
      <c r="KSD22" s="1773"/>
      <c r="KSE22" s="1773"/>
      <c r="KSF22" s="1773"/>
      <c r="KSG22" s="1773"/>
      <c r="KSH22" s="1773"/>
      <c r="KSI22" s="1773"/>
      <c r="KSJ22" s="1773"/>
      <c r="KSK22" s="1773"/>
      <c r="KSL22" s="1773"/>
      <c r="KSM22" s="1773"/>
      <c r="KSN22" s="1773"/>
      <c r="KSO22" s="1773"/>
      <c r="KSP22" s="1773"/>
      <c r="KSQ22" s="1773"/>
      <c r="KSR22" s="1773"/>
      <c r="KSS22" s="1773"/>
      <c r="KST22" s="1773"/>
      <c r="KSU22" s="1773"/>
      <c r="KSV22" s="1773"/>
      <c r="KSW22" s="1773"/>
      <c r="KSX22" s="1773"/>
      <c r="KSY22" s="1773"/>
      <c r="KSZ22" s="1773"/>
      <c r="KTA22" s="1773"/>
      <c r="KTB22" s="1773"/>
      <c r="KTC22" s="1773"/>
      <c r="KTD22" s="1773"/>
      <c r="KTE22" s="1773"/>
      <c r="KTF22" s="1773"/>
      <c r="KTG22" s="1773"/>
      <c r="KTH22" s="1773"/>
      <c r="KTI22" s="1773"/>
      <c r="KTJ22" s="1773"/>
      <c r="KTK22" s="1773"/>
      <c r="KTL22" s="1773"/>
      <c r="KTM22" s="1773"/>
      <c r="KTN22" s="1773"/>
      <c r="KTO22" s="1773"/>
      <c r="KTP22" s="1773"/>
      <c r="KTQ22" s="1773"/>
      <c r="KTR22" s="1773"/>
      <c r="KTS22" s="1773"/>
      <c r="KTT22" s="1773"/>
      <c r="KTU22" s="1773"/>
      <c r="KTV22" s="1773"/>
      <c r="KTW22" s="1773"/>
      <c r="KTX22" s="1773"/>
      <c r="KTY22" s="1773"/>
      <c r="KTZ22" s="1773"/>
      <c r="KUA22" s="1773"/>
      <c r="KUB22" s="1773"/>
      <c r="KUC22" s="1773"/>
      <c r="KUD22" s="1773"/>
      <c r="KUE22" s="1773"/>
      <c r="KUF22" s="1773"/>
      <c r="KUG22" s="1773"/>
      <c r="KUH22" s="1773"/>
      <c r="KUI22" s="1773"/>
      <c r="KUJ22" s="1773"/>
      <c r="KUK22" s="1773"/>
      <c r="KUL22" s="1773"/>
      <c r="KUM22" s="1773"/>
      <c r="KUN22" s="1773"/>
      <c r="KUO22" s="1773"/>
      <c r="KUP22" s="1773"/>
      <c r="KUQ22" s="1773"/>
      <c r="KUR22" s="1773"/>
      <c r="KUS22" s="1773"/>
      <c r="KUT22" s="1773"/>
      <c r="KUU22" s="1773"/>
      <c r="KUV22" s="1773"/>
      <c r="KUW22" s="1773"/>
      <c r="KUX22" s="1773"/>
      <c r="KUY22" s="1773"/>
      <c r="KUZ22" s="1773"/>
      <c r="KVA22" s="1773"/>
      <c r="KVB22" s="1773"/>
      <c r="KVC22" s="1773"/>
      <c r="KVD22" s="1773"/>
      <c r="KVE22" s="1773"/>
      <c r="KVF22" s="1773"/>
      <c r="KVG22" s="1773"/>
      <c r="KVH22" s="1773"/>
      <c r="KVI22" s="1773"/>
      <c r="KVJ22" s="1773"/>
      <c r="KVK22" s="1773"/>
      <c r="KVL22" s="1773"/>
      <c r="KVM22" s="1773"/>
      <c r="KVN22" s="1773"/>
      <c r="KVO22" s="1773"/>
      <c r="KVP22" s="1773"/>
      <c r="KVQ22" s="1773"/>
      <c r="KVR22" s="1773"/>
      <c r="KVS22" s="1773"/>
      <c r="KVT22" s="1773"/>
      <c r="KVU22" s="1773"/>
      <c r="KVV22" s="1773"/>
      <c r="KVW22" s="1773"/>
      <c r="KVX22" s="1773"/>
      <c r="KVY22" s="1773"/>
      <c r="KVZ22" s="1773"/>
      <c r="KWA22" s="1773"/>
      <c r="KWB22" s="1773"/>
      <c r="KWC22" s="1773"/>
      <c r="KWD22" s="1773"/>
      <c r="KWE22" s="1773"/>
      <c r="KWF22" s="1773"/>
      <c r="KWG22" s="1773"/>
      <c r="KWH22" s="1773"/>
      <c r="KWI22" s="1773"/>
      <c r="KWJ22" s="1773"/>
      <c r="KWK22" s="1773"/>
      <c r="KWL22" s="1773"/>
      <c r="KWM22" s="1773"/>
      <c r="KWN22" s="1773"/>
      <c r="KWO22" s="1773"/>
      <c r="KWP22" s="1773"/>
      <c r="KWQ22" s="1773"/>
      <c r="KWR22" s="1773"/>
      <c r="KWS22" s="1773"/>
      <c r="KWT22" s="1773"/>
      <c r="KWU22" s="1773"/>
      <c r="KWV22" s="1773"/>
      <c r="KWW22" s="1773"/>
      <c r="KWX22" s="1773"/>
      <c r="KWY22" s="1773"/>
      <c r="KWZ22" s="1773"/>
      <c r="KXA22" s="1773"/>
      <c r="KXB22" s="1773"/>
      <c r="KXC22" s="1773"/>
      <c r="KXD22" s="1773"/>
      <c r="KXE22" s="1773"/>
      <c r="KXF22" s="1773"/>
      <c r="KXG22" s="1773"/>
      <c r="KXH22" s="1773"/>
      <c r="KXI22" s="1773"/>
      <c r="KXJ22" s="1773"/>
      <c r="KXK22" s="1773"/>
      <c r="KXL22" s="1773"/>
      <c r="KXM22" s="1773"/>
      <c r="KXN22" s="1773"/>
      <c r="KXO22" s="1773"/>
      <c r="KXP22" s="1773"/>
      <c r="KXQ22" s="1773"/>
      <c r="KXR22" s="1773"/>
      <c r="KXS22" s="1773"/>
      <c r="KXT22" s="1773"/>
      <c r="KXU22" s="1773"/>
      <c r="KXV22" s="1773"/>
      <c r="KXW22" s="1773"/>
      <c r="KXX22" s="1773"/>
      <c r="KXY22" s="1773"/>
      <c r="KXZ22" s="1773"/>
      <c r="KYA22" s="1773"/>
      <c r="KYB22" s="1773"/>
      <c r="KYC22" s="1773"/>
      <c r="KYD22" s="1773"/>
      <c r="KYE22" s="1773"/>
      <c r="KYF22" s="1773"/>
      <c r="KYG22" s="1773"/>
      <c r="KYH22" s="1773"/>
      <c r="KYI22" s="1773"/>
      <c r="KYJ22" s="1773"/>
      <c r="KYK22" s="1773"/>
      <c r="KYL22" s="1773"/>
      <c r="KYM22" s="1773"/>
      <c r="KYN22" s="1773"/>
      <c r="KYO22" s="1773"/>
      <c r="KYP22" s="1773"/>
      <c r="KYQ22" s="1773"/>
      <c r="KYR22" s="1773"/>
      <c r="KYS22" s="1773"/>
      <c r="KYT22" s="1773"/>
      <c r="KYU22" s="1773"/>
      <c r="KYV22" s="1773"/>
      <c r="KYW22" s="1773"/>
      <c r="KYX22" s="1773"/>
      <c r="KYY22" s="1773"/>
      <c r="KYZ22" s="1773"/>
      <c r="KZA22" s="1773"/>
      <c r="KZB22" s="1773"/>
      <c r="KZC22" s="1773"/>
      <c r="KZD22" s="1773"/>
      <c r="KZE22" s="1773"/>
      <c r="KZF22" s="1773"/>
      <c r="KZG22" s="1773"/>
      <c r="KZH22" s="1773"/>
      <c r="KZI22" s="1773"/>
      <c r="KZJ22" s="1773"/>
      <c r="KZK22" s="1773"/>
      <c r="KZL22" s="1773"/>
      <c r="KZM22" s="1773"/>
      <c r="KZN22" s="1773"/>
      <c r="KZO22" s="1773"/>
      <c r="KZP22" s="1773"/>
      <c r="KZQ22" s="1773"/>
      <c r="KZR22" s="1773"/>
      <c r="KZS22" s="1773"/>
      <c r="KZT22" s="1773"/>
      <c r="KZU22" s="1773"/>
      <c r="KZV22" s="1773"/>
      <c r="KZW22" s="1773"/>
      <c r="KZX22" s="1773"/>
      <c r="KZY22" s="1773"/>
      <c r="KZZ22" s="1773"/>
      <c r="LAA22" s="1773"/>
      <c r="LAB22" s="1773"/>
      <c r="LAC22" s="1773"/>
      <c r="LAD22" s="1773"/>
      <c r="LAE22" s="1773"/>
      <c r="LAF22" s="1773"/>
      <c r="LAG22" s="1773"/>
      <c r="LAH22" s="1773"/>
      <c r="LAI22" s="1773"/>
      <c r="LAJ22" s="1773"/>
      <c r="LAK22" s="1773"/>
      <c r="LAL22" s="1773"/>
      <c r="LAM22" s="1773"/>
      <c r="LAN22" s="1773"/>
      <c r="LAO22" s="1773"/>
      <c r="LAP22" s="1773"/>
      <c r="LAQ22" s="1773"/>
      <c r="LAR22" s="1773"/>
      <c r="LAS22" s="1773"/>
      <c r="LAT22" s="1773"/>
      <c r="LAU22" s="1773"/>
      <c r="LAV22" s="1773"/>
      <c r="LAW22" s="1773"/>
      <c r="LAX22" s="1773"/>
      <c r="LAY22" s="1773"/>
      <c r="LAZ22" s="1773"/>
      <c r="LBA22" s="1773"/>
      <c r="LBB22" s="1773"/>
      <c r="LBC22" s="1773"/>
      <c r="LBD22" s="1773"/>
      <c r="LBE22" s="1773"/>
      <c r="LBF22" s="1773"/>
      <c r="LBG22" s="1773"/>
      <c r="LBH22" s="1773"/>
      <c r="LBI22" s="1773"/>
      <c r="LBJ22" s="1773"/>
      <c r="LBK22" s="1773"/>
      <c r="LBL22" s="1773"/>
      <c r="LBM22" s="1773"/>
      <c r="LBN22" s="1773"/>
      <c r="LBO22" s="1773"/>
      <c r="LBP22" s="1773"/>
      <c r="LBQ22" s="1773"/>
      <c r="LBR22" s="1773"/>
      <c r="LBS22" s="1773"/>
      <c r="LBT22" s="1773"/>
      <c r="LBU22" s="1773"/>
      <c r="LBV22" s="1773"/>
      <c r="LBW22" s="1773"/>
      <c r="LBX22" s="1773"/>
      <c r="LBY22" s="1773"/>
      <c r="LBZ22" s="1773"/>
      <c r="LCA22" s="1773"/>
      <c r="LCB22" s="1773"/>
      <c r="LCC22" s="1773"/>
      <c r="LCD22" s="1773"/>
      <c r="LCE22" s="1773"/>
      <c r="LCF22" s="1773"/>
      <c r="LCG22" s="1773"/>
      <c r="LCH22" s="1773"/>
      <c r="LCI22" s="1773"/>
      <c r="LCJ22" s="1773"/>
      <c r="LCK22" s="1773"/>
      <c r="LCL22" s="1773"/>
      <c r="LCM22" s="1773"/>
      <c r="LCN22" s="1773"/>
      <c r="LCO22" s="1773"/>
      <c r="LCP22" s="1773"/>
      <c r="LCQ22" s="1773"/>
      <c r="LCR22" s="1773"/>
      <c r="LCS22" s="1773"/>
      <c r="LCT22" s="1773"/>
      <c r="LCU22" s="1773"/>
      <c r="LCV22" s="1773"/>
      <c r="LCW22" s="1773"/>
      <c r="LCX22" s="1773"/>
      <c r="LCY22" s="1773"/>
      <c r="LCZ22" s="1773"/>
      <c r="LDA22" s="1773"/>
      <c r="LDB22" s="1773"/>
      <c r="LDC22" s="1773"/>
      <c r="LDD22" s="1773"/>
      <c r="LDE22" s="1773"/>
      <c r="LDF22" s="1773"/>
      <c r="LDG22" s="1773"/>
      <c r="LDH22" s="1773"/>
      <c r="LDI22" s="1773"/>
      <c r="LDJ22" s="1773"/>
      <c r="LDK22" s="1773"/>
      <c r="LDL22" s="1773"/>
      <c r="LDM22" s="1773"/>
      <c r="LDN22" s="1773"/>
      <c r="LDO22" s="1773"/>
      <c r="LDP22" s="1773"/>
      <c r="LDQ22" s="1773"/>
      <c r="LDR22" s="1773"/>
      <c r="LDS22" s="1773"/>
      <c r="LDT22" s="1773"/>
      <c r="LDU22" s="1773"/>
      <c r="LDV22" s="1773"/>
      <c r="LDW22" s="1773"/>
      <c r="LDX22" s="1773"/>
      <c r="LDY22" s="1773"/>
      <c r="LDZ22" s="1773"/>
      <c r="LEA22" s="1773"/>
      <c r="LEB22" s="1773"/>
      <c r="LEC22" s="1773"/>
      <c r="LED22" s="1773"/>
      <c r="LEE22" s="1773"/>
      <c r="LEF22" s="1773"/>
      <c r="LEG22" s="1773"/>
      <c r="LEH22" s="1773"/>
      <c r="LEI22" s="1773"/>
      <c r="LEJ22" s="1773"/>
      <c r="LEK22" s="1773"/>
      <c r="LEL22" s="1773"/>
      <c r="LEM22" s="1773"/>
      <c r="LEN22" s="1773"/>
      <c r="LEO22" s="1773"/>
      <c r="LEP22" s="1773"/>
      <c r="LEQ22" s="1773"/>
      <c r="LER22" s="1773"/>
      <c r="LES22" s="1773"/>
      <c r="LET22" s="1773"/>
      <c r="LEU22" s="1773"/>
      <c r="LEV22" s="1773"/>
      <c r="LEW22" s="1773"/>
      <c r="LEX22" s="1773"/>
      <c r="LEY22" s="1773"/>
      <c r="LEZ22" s="1773"/>
      <c r="LFA22" s="1773"/>
      <c r="LFB22" s="1773"/>
      <c r="LFC22" s="1773"/>
      <c r="LFD22" s="1773"/>
      <c r="LFE22" s="1773"/>
      <c r="LFF22" s="1773"/>
      <c r="LFG22" s="1773"/>
      <c r="LFH22" s="1773"/>
      <c r="LFI22" s="1773"/>
      <c r="LFJ22" s="1773"/>
      <c r="LFK22" s="1773"/>
      <c r="LFL22" s="1773"/>
      <c r="LFM22" s="1773"/>
      <c r="LFN22" s="1773"/>
      <c r="LFO22" s="1773"/>
      <c r="LFP22" s="1773"/>
      <c r="LFQ22" s="1773"/>
      <c r="LFR22" s="1773"/>
      <c r="LFS22" s="1773"/>
      <c r="LFT22" s="1773"/>
      <c r="LFU22" s="1773"/>
      <c r="LFV22" s="1773"/>
      <c r="LFW22" s="1773"/>
      <c r="LFX22" s="1773"/>
      <c r="LFY22" s="1773"/>
      <c r="LFZ22" s="1773"/>
      <c r="LGA22" s="1773"/>
      <c r="LGB22" s="1773"/>
      <c r="LGC22" s="1773"/>
      <c r="LGD22" s="1773"/>
      <c r="LGE22" s="1773"/>
      <c r="LGF22" s="1773"/>
      <c r="LGG22" s="1773"/>
      <c r="LGH22" s="1773"/>
      <c r="LGI22" s="1773"/>
      <c r="LGJ22" s="1773"/>
      <c r="LGK22" s="1773"/>
      <c r="LGL22" s="1773"/>
      <c r="LGM22" s="1773"/>
      <c r="LGN22" s="1773"/>
      <c r="LGO22" s="1773"/>
      <c r="LGP22" s="1773"/>
      <c r="LGQ22" s="1773"/>
      <c r="LGR22" s="1773"/>
      <c r="LGS22" s="1773"/>
      <c r="LGT22" s="1773"/>
      <c r="LGU22" s="1773"/>
      <c r="LGV22" s="1773"/>
      <c r="LGW22" s="1773"/>
      <c r="LGX22" s="1773"/>
      <c r="LGY22" s="1773"/>
      <c r="LGZ22" s="1773"/>
      <c r="LHA22" s="1773"/>
      <c r="LHB22" s="1773"/>
      <c r="LHC22" s="1773"/>
      <c r="LHD22" s="1773"/>
      <c r="LHE22" s="1773"/>
      <c r="LHF22" s="1773"/>
      <c r="LHG22" s="1773"/>
      <c r="LHH22" s="1773"/>
      <c r="LHI22" s="1773"/>
      <c r="LHJ22" s="1773"/>
      <c r="LHK22" s="1773"/>
      <c r="LHL22" s="1773"/>
      <c r="LHM22" s="1773"/>
      <c r="LHN22" s="1773"/>
      <c r="LHO22" s="1773"/>
      <c r="LHP22" s="1773"/>
      <c r="LHQ22" s="1773"/>
      <c r="LHR22" s="1773"/>
      <c r="LHS22" s="1773"/>
      <c r="LHT22" s="1773"/>
      <c r="LHU22" s="1773"/>
      <c r="LHV22" s="1773"/>
      <c r="LHW22" s="1773"/>
      <c r="LHX22" s="1773"/>
      <c r="LHY22" s="1773"/>
      <c r="LHZ22" s="1773"/>
      <c r="LIA22" s="1773"/>
      <c r="LIB22" s="1773"/>
      <c r="LIC22" s="1773"/>
      <c r="LID22" s="1773"/>
      <c r="LIE22" s="1773"/>
      <c r="LIF22" s="1773"/>
      <c r="LIG22" s="1773"/>
      <c r="LIH22" s="1773"/>
      <c r="LII22" s="1773"/>
      <c r="LIJ22" s="1773"/>
      <c r="LIK22" s="1773"/>
      <c r="LIL22" s="1773"/>
      <c r="LIM22" s="1773"/>
      <c r="LIN22" s="1773"/>
      <c r="LIO22" s="1773"/>
      <c r="LIP22" s="1773"/>
      <c r="LIQ22" s="1773"/>
      <c r="LIR22" s="1773"/>
      <c r="LIS22" s="1773"/>
      <c r="LIT22" s="1773"/>
      <c r="LIU22" s="1773"/>
      <c r="LIV22" s="1773"/>
      <c r="LIW22" s="1773"/>
      <c r="LIX22" s="1773"/>
      <c r="LIY22" s="1773"/>
      <c r="LIZ22" s="1773"/>
      <c r="LJA22" s="1773"/>
      <c r="LJB22" s="1773"/>
      <c r="LJC22" s="1773"/>
      <c r="LJD22" s="1773"/>
      <c r="LJE22" s="1773"/>
      <c r="LJF22" s="1773"/>
      <c r="LJG22" s="1773"/>
      <c r="LJH22" s="1773"/>
      <c r="LJI22" s="1773"/>
      <c r="LJJ22" s="1773"/>
      <c r="LJK22" s="1773"/>
      <c r="LJL22" s="1773"/>
      <c r="LJM22" s="1773"/>
      <c r="LJN22" s="1773"/>
      <c r="LJO22" s="1773"/>
      <c r="LJP22" s="1773"/>
      <c r="LJQ22" s="1773"/>
      <c r="LJR22" s="1773"/>
      <c r="LJS22" s="1773"/>
      <c r="LJT22" s="1773"/>
      <c r="LJU22" s="1773"/>
      <c r="LJV22" s="1773"/>
      <c r="LJW22" s="1773"/>
      <c r="LJX22" s="1773"/>
      <c r="LJY22" s="1773"/>
      <c r="LJZ22" s="1773"/>
      <c r="LKA22" s="1773"/>
      <c r="LKB22" s="1773"/>
      <c r="LKC22" s="1773"/>
      <c r="LKD22" s="1773"/>
      <c r="LKE22" s="1773"/>
      <c r="LKF22" s="1773"/>
      <c r="LKG22" s="1773"/>
      <c r="LKH22" s="1773"/>
      <c r="LKI22" s="1773"/>
      <c r="LKJ22" s="1773"/>
      <c r="LKK22" s="1773"/>
      <c r="LKL22" s="1773"/>
      <c r="LKM22" s="1773"/>
      <c r="LKN22" s="1773"/>
      <c r="LKO22" s="1773"/>
      <c r="LKP22" s="1773"/>
      <c r="LKQ22" s="1773"/>
      <c r="LKR22" s="1773"/>
      <c r="LKS22" s="1773"/>
      <c r="LKT22" s="1773"/>
      <c r="LKU22" s="1773"/>
      <c r="LKV22" s="1773"/>
      <c r="LKW22" s="1773"/>
      <c r="LKX22" s="1773"/>
      <c r="LKY22" s="1773"/>
      <c r="LKZ22" s="1773"/>
      <c r="LLA22" s="1773"/>
      <c r="LLB22" s="1773"/>
      <c r="LLC22" s="1773"/>
      <c r="LLD22" s="1773"/>
      <c r="LLE22" s="1773"/>
      <c r="LLF22" s="1773"/>
      <c r="LLG22" s="1773"/>
      <c r="LLH22" s="1773"/>
      <c r="LLI22" s="1773"/>
      <c r="LLJ22" s="1773"/>
      <c r="LLK22" s="1773"/>
      <c r="LLL22" s="1773"/>
      <c r="LLM22" s="1773"/>
      <c r="LLN22" s="1773"/>
      <c r="LLO22" s="1773"/>
      <c r="LLP22" s="1773"/>
      <c r="LLQ22" s="1773"/>
      <c r="LLR22" s="1773"/>
      <c r="LLS22" s="1773"/>
      <c r="LLT22" s="1773"/>
      <c r="LLU22" s="1773"/>
      <c r="LLV22" s="1773"/>
      <c r="LLW22" s="1773"/>
      <c r="LLX22" s="1773"/>
      <c r="LLY22" s="1773"/>
      <c r="LLZ22" s="1773"/>
      <c r="LMA22" s="1773"/>
      <c r="LMB22" s="1773"/>
      <c r="LMC22" s="1773"/>
      <c r="LMD22" s="1773"/>
      <c r="LME22" s="1773"/>
      <c r="LMF22" s="1773"/>
      <c r="LMG22" s="1773"/>
      <c r="LMH22" s="1773"/>
      <c r="LMI22" s="1773"/>
      <c r="LMJ22" s="1773"/>
      <c r="LMK22" s="1773"/>
      <c r="LML22" s="1773"/>
      <c r="LMM22" s="1773"/>
      <c r="LMN22" s="1773"/>
      <c r="LMO22" s="1773"/>
      <c r="LMP22" s="1773"/>
      <c r="LMQ22" s="1773"/>
      <c r="LMR22" s="1773"/>
      <c r="LMS22" s="1773"/>
      <c r="LMT22" s="1773"/>
      <c r="LMU22" s="1773"/>
      <c r="LMV22" s="1773"/>
      <c r="LMW22" s="1773"/>
      <c r="LMX22" s="1773"/>
      <c r="LMY22" s="1773"/>
      <c r="LMZ22" s="1773"/>
      <c r="LNA22" s="1773"/>
      <c r="LNB22" s="1773"/>
      <c r="LNC22" s="1773"/>
      <c r="LND22" s="1773"/>
      <c r="LNE22" s="1773"/>
      <c r="LNF22" s="1773"/>
      <c r="LNG22" s="1773"/>
      <c r="LNH22" s="1773"/>
      <c r="LNI22" s="1773"/>
      <c r="LNJ22" s="1773"/>
      <c r="LNK22" s="1773"/>
      <c r="LNL22" s="1773"/>
      <c r="LNM22" s="1773"/>
      <c r="LNN22" s="1773"/>
      <c r="LNO22" s="1773"/>
      <c r="LNP22" s="1773"/>
      <c r="LNQ22" s="1773"/>
      <c r="LNR22" s="1773"/>
      <c r="LNS22" s="1773"/>
      <c r="LNT22" s="1773"/>
      <c r="LNU22" s="1773"/>
      <c r="LNV22" s="1773"/>
      <c r="LNW22" s="1773"/>
      <c r="LNX22" s="1773"/>
      <c r="LNY22" s="1773"/>
      <c r="LNZ22" s="1773"/>
      <c r="LOA22" s="1773"/>
      <c r="LOB22" s="1773"/>
      <c r="LOC22" s="1773"/>
      <c r="LOD22" s="1773"/>
      <c r="LOE22" s="1773"/>
      <c r="LOF22" s="1773"/>
      <c r="LOG22" s="1773"/>
      <c r="LOH22" s="1773"/>
      <c r="LOI22" s="1773"/>
      <c r="LOJ22" s="1773"/>
      <c r="LOK22" s="1773"/>
      <c r="LOL22" s="1773"/>
      <c r="LOM22" s="1773"/>
      <c r="LON22" s="1773"/>
      <c r="LOO22" s="1773"/>
      <c r="LOP22" s="1773"/>
      <c r="LOQ22" s="1773"/>
      <c r="LOR22" s="1773"/>
      <c r="LOS22" s="1773"/>
      <c r="LOT22" s="1773"/>
      <c r="LOU22" s="1773"/>
      <c r="LOV22" s="1773"/>
      <c r="LOW22" s="1773"/>
      <c r="LOX22" s="1773"/>
      <c r="LOY22" s="1773"/>
      <c r="LOZ22" s="1773"/>
      <c r="LPA22" s="1773"/>
      <c r="LPB22" s="1773"/>
      <c r="LPC22" s="1773"/>
      <c r="LPD22" s="1773"/>
      <c r="LPE22" s="1773"/>
      <c r="LPF22" s="1773"/>
      <c r="LPG22" s="1773"/>
      <c r="LPH22" s="1773"/>
      <c r="LPI22" s="1773"/>
      <c r="LPJ22" s="1773"/>
      <c r="LPK22" s="1773"/>
      <c r="LPL22" s="1773"/>
      <c r="LPM22" s="1773"/>
      <c r="LPN22" s="1773"/>
      <c r="LPO22" s="1773"/>
      <c r="LPP22" s="1773"/>
      <c r="LPQ22" s="1773"/>
      <c r="LPR22" s="1773"/>
      <c r="LPS22" s="1773"/>
      <c r="LPT22" s="1773"/>
      <c r="LPU22" s="1773"/>
      <c r="LPV22" s="1773"/>
      <c r="LPW22" s="1773"/>
      <c r="LPX22" s="1773"/>
      <c r="LPY22" s="1773"/>
      <c r="LPZ22" s="1773"/>
      <c r="LQA22" s="1773"/>
      <c r="LQB22" s="1773"/>
      <c r="LQC22" s="1773"/>
      <c r="LQD22" s="1773"/>
      <c r="LQE22" s="1773"/>
      <c r="LQF22" s="1773"/>
      <c r="LQG22" s="1773"/>
      <c r="LQH22" s="1773"/>
      <c r="LQI22" s="1773"/>
      <c r="LQJ22" s="1773"/>
      <c r="LQK22" s="1773"/>
      <c r="LQL22" s="1773"/>
      <c r="LQM22" s="1773"/>
      <c r="LQN22" s="1773"/>
      <c r="LQO22" s="1773"/>
      <c r="LQP22" s="1773"/>
      <c r="LQQ22" s="1773"/>
      <c r="LQR22" s="1773"/>
      <c r="LQS22" s="1773"/>
      <c r="LQT22" s="1773"/>
      <c r="LQU22" s="1773"/>
      <c r="LQV22" s="1773"/>
      <c r="LQW22" s="1773"/>
      <c r="LQX22" s="1773"/>
      <c r="LQY22" s="1773"/>
      <c r="LQZ22" s="1773"/>
      <c r="LRA22" s="1773"/>
      <c r="LRB22" s="1773"/>
      <c r="LRC22" s="1773"/>
      <c r="LRD22" s="1773"/>
      <c r="LRE22" s="1773"/>
      <c r="LRF22" s="1773"/>
      <c r="LRG22" s="1773"/>
      <c r="LRH22" s="1773"/>
      <c r="LRI22" s="1773"/>
      <c r="LRJ22" s="1773"/>
      <c r="LRK22" s="1773"/>
      <c r="LRL22" s="1773"/>
      <c r="LRM22" s="1773"/>
      <c r="LRN22" s="1773"/>
      <c r="LRO22" s="1773"/>
      <c r="LRP22" s="1773"/>
      <c r="LRQ22" s="1773"/>
      <c r="LRR22" s="1773"/>
      <c r="LRS22" s="1773"/>
      <c r="LRT22" s="1773"/>
      <c r="LRU22" s="1773"/>
      <c r="LRV22" s="1773"/>
      <c r="LRW22" s="1773"/>
      <c r="LRX22" s="1773"/>
      <c r="LRY22" s="1773"/>
      <c r="LRZ22" s="1773"/>
      <c r="LSA22" s="1773"/>
      <c r="LSB22" s="1773"/>
      <c r="LSC22" s="1773"/>
      <c r="LSD22" s="1773"/>
      <c r="LSE22" s="1773"/>
      <c r="LSF22" s="1773"/>
      <c r="LSG22" s="1773"/>
      <c r="LSH22" s="1773"/>
      <c r="LSI22" s="1773"/>
      <c r="LSJ22" s="1773"/>
      <c r="LSK22" s="1773"/>
      <c r="LSL22" s="1773"/>
      <c r="LSM22" s="1773"/>
      <c r="LSN22" s="1773"/>
      <c r="LSO22" s="1773"/>
      <c r="LSP22" s="1773"/>
      <c r="LSQ22" s="1773"/>
      <c r="LSR22" s="1773"/>
      <c r="LSS22" s="1773"/>
      <c r="LST22" s="1773"/>
      <c r="LSU22" s="1773"/>
      <c r="LSV22" s="1773"/>
      <c r="LSW22" s="1773"/>
      <c r="LSX22" s="1773"/>
      <c r="LSY22" s="1773"/>
      <c r="LSZ22" s="1773"/>
      <c r="LTA22" s="1773"/>
      <c r="LTB22" s="1773"/>
      <c r="LTC22" s="1773"/>
      <c r="LTD22" s="1773"/>
      <c r="LTE22" s="1773"/>
      <c r="LTF22" s="1773"/>
      <c r="LTG22" s="1773"/>
      <c r="LTH22" s="1773"/>
      <c r="LTI22" s="1773"/>
      <c r="LTJ22" s="1773"/>
      <c r="LTK22" s="1773"/>
      <c r="LTL22" s="1773"/>
      <c r="LTM22" s="1773"/>
      <c r="LTN22" s="1773"/>
      <c r="LTO22" s="1773"/>
      <c r="LTP22" s="1773"/>
      <c r="LTQ22" s="1773"/>
      <c r="LTR22" s="1773"/>
      <c r="LTS22" s="1773"/>
      <c r="LTT22" s="1773"/>
      <c r="LTU22" s="1773"/>
      <c r="LTV22" s="1773"/>
      <c r="LTW22" s="1773"/>
      <c r="LTX22" s="1773"/>
      <c r="LTY22" s="1773"/>
      <c r="LTZ22" s="1773"/>
      <c r="LUA22" s="1773"/>
      <c r="LUB22" s="1773"/>
      <c r="LUC22" s="1773"/>
      <c r="LUD22" s="1773"/>
      <c r="LUE22" s="1773"/>
      <c r="LUF22" s="1773"/>
      <c r="LUG22" s="1773"/>
      <c r="LUH22" s="1773"/>
      <c r="LUI22" s="1773"/>
      <c r="LUJ22" s="1773"/>
      <c r="LUK22" s="1773"/>
      <c r="LUL22" s="1773"/>
      <c r="LUM22" s="1773"/>
      <c r="LUN22" s="1773"/>
      <c r="LUO22" s="1773"/>
      <c r="LUP22" s="1773"/>
      <c r="LUQ22" s="1773"/>
      <c r="LUR22" s="1773"/>
      <c r="LUS22" s="1773"/>
      <c r="LUT22" s="1773"/>
      <c r="LUU22" s="1773"/>
      <c r="LUV22" s="1773"/>
      <c r="LUW22" s="1773"/>
      <c r="LUX22" s="1773"/>
      <c r="LUY22" s="1773"/>
      <c r="LUZ22" s="1773"/>
      <c r="LVA22" s="1773"/>
      <c r="LVB22" s="1773"/>
      <c r="LVC22" s="1773"/>
      <c r="LVD22" s="1773"/>
      <c r="LVE22" s="1773"/>
      <c r="LVF22" s="1773"/>
      <c r="LVG22" s="1773"/>
      <c r="LVH22" s="1773"/>
      <c r="LVI22" s="1773"/>
      <c r="LVJ22" s="1773"/>
      <c r="LVK22" s="1773"/>
      <c r="LVL22" s="1773"/>
      <c r="LVM22" s="1773"/>
      <c r="LVN22" s="1773"/>
      <c r="LVO22" s="1773"/>
      <c r="LVP22" s="1773"/>
      <c r="LVQ22" s="1773"/>
      <c r="LVR22" s="1773"/>
      <c r="LVS22" s="1773"/>
      <c r="LVT22" s="1773"/>
      <c r="LVU22" s="1773"/>
      <c r="LVV22" s="1773"/>
      <c r="LVW22" s="1773"/>
      <c r="LVX22" s="1773"/>
      <c r="LVY22" s="1773"/>
      <c r="LVZ22" s="1773"/>
      <c r="LWA22" s="1773"/>
      <c r="LWB22" s="1773"/>
      <c r="LWC22" s="1773"/>
      <c r="LWD22" s="1773"/>
      <c r="LWE22" s="1773"/>
      <c r="LWF22" s="1773"/>
      <c r="LWG22" s="1773"/>
      <c r="LWH22" s="1773"/>
      <c r="LWI22" s="1773"/>
      <c r="LWJ22" s="1773"/>
      <c r="LWK22" s="1773"/>
      <c r="LWL22" s="1773"/>
      <c r="LWM22" s="1773"/>
      <c r="LWN22" s="1773"/>
      <c r="LWO22" s="1773"/>
      <c r="LWP22" s="1773"/>
      <c r="LWQ22" s="1773"/>
      <c r="LWR22" s="1773"/>
      <c r="LWS22" s="1773"/>
      <c r="LWT22" s="1773"/>
      <c r="LWU22" s="1773"/>
      <c r="LWV22" s="1773"/>
      <c r="LWW22" s="1773"/>
      <c r="LWX22" s="1773"/>
      <c r="LWY22" s="1773"/>
      <c r="LWZ22" s="1773"/>
      <c r="LXA22" s="1773"/>
      <c r="LXB22" s="1773"/>
      <c r="LXC22" s="1773"/>
      <c r="LXD22" s="1773"/>
      <c r="LXE22" s="1773"/>
      <c r="LXF22" s="1773"/>
      <c r="LXG22" s="1773"/>
      <c r="LXH22" s="1773"/>
      <c r="LXI22" s="1773"/>
      <c r="LXJ22" s="1773"/>
      <c r="LXK22" s="1773"/>
      <c r="LXL22" s="1773"/>
      <c r="LXM22" s="1773"/>
      <c r="LXN22" s="1773"/>
      <c r="LXO22" s="1773"/>
      <c r="LXP22" s="1773"/>
      <c r="LXQ22" s="1773"/>
      <c r="LXR22" s="1773"/>
      <c r="LXS22" s="1773"/>
      <c r="LXT22" s="1773"/>
      <c r="LXU22" s="1773"/>
      <c r="LXV22" s="1773"/>
      <c r="LXW22" s="1773"/>
      <c r="LXX22" s="1773"/>
      <c r="LXY22" s="1773"/>
      <c r="LXZ22" s="1773"/>
      <c r="LYA22" s="1773"/>
      <c r="LYB22" s="1773"/>
      <c r="LYC22" s="1773"/>
      <c r="LYD22" s="1773"/>
      <c r="LYE22" s="1773"/>
      <c r="LYF22" s="1773"/>
      <c r="LYG22" s="1773"/>
      <c r="LYH22" s="1773"/>
      <c r="LYI22" s="1773"/>
      <c r="LYJ22" s="1773"/>
      <c r="LYK22" s="1773"/>
      <c r="LYL22" s="1773"/>
      <c r="LYM22" s="1773"/>
      <c r="LYN22" s="1773"/>
      <c r="LYO22" s="1773"/>
      <c r="LYP22" s="1773"/>
      <c r="LYQ22" s="1773"/>
      <c r="LYR22" s="1773"/>
      <c r="LYS22" s="1773"/>
      <c r="LYT22" s="1773"/>
      <c r="LYU22" s="1773"/>
      <c r="LYV22" s="1773"/>
      <c r="LYW22" s="1773"/>
      <c r="LYX22" s="1773"/>
      <c r="LYY22" s="1773"/>
      <c r="LYZ22" s="1773"/>
      <c r="LZA22" s="1773"/>
      <c r="LZB22" s="1773"/>
      <c r="LZC22" s="1773"/>
      <c r="LZD22" s="1773"/>
      <c r="LZE22" s="1773"/>
      <c r="LZF22" s="1773"/>
      <c r="LZG22" s="1773"/>
      <c r="LZH22" s="1773"/>
      <c r="LZI22" s="1773"/>
      <c r="LZJ22" s="1773"/>
      <c r="LZK22" s="1773"/>
      <c r="LZL22" s="1773"/>
      <c r="LZM22" s="1773"/>
      <c r="LZN22" s="1773"/>
      <c r="LZO22" s="1773"/>
      <c r="LZP22" s="1773"/>
      <c r="LZQ22" s="1773"/>
      <c r="LZR22" s="1773"/>
      <c r="LZS22" s="1773"/>
      <c r="LZT22" s="1773"/>
      <c r="LZU22" s="1773"/>
      <c r="LZV22" s="1773"/>
      <c r="LZW22" s="1773"/>
      <c r="LZX22" s="1773"/>
      <c r="LZY22" s="1773"/>
      <c r="LZZ22" s="1773"/>
      <c r="MAA22" s="1773"/>
      <c r="MAB22" s="1773"/>
      <c r="MAC22" s="1773"/>
      <c r="MAD22" s="1773"/>
      <c r="MAE22" s="1773"/>
      <c r="MAF22" s="1773"/>
      <c r="MAG22" s="1773"/>
      <c r="MAH22" s="1773"/>
      <c r="MAI22" s="1773"/>
      <c r="MAJ22" s="1773"/>
      <c r="MAK22" s="1773"/>
      <c r="MAL22" s="1773"/>
      <c r="MAM22" s="1773"/>
      <c r="MAN22" s="1773"/>
      <c r="MAO22" s="1773"/>
      <c r="MAP22" s="1773"/>
      <c r="MAQ22" s="1773"/>
      <c r="MAR22" s="1773"/>
      <c r="MAS22" s="1773"/>
      <c r="MAT22" s="1773"/>
      <c r="MAU22" s="1773"/>
      <c r="MAV22" s="1773"/>
      <c r="MAW22" s="1773"/>
      <c r="MAX22" s="1773"/>
      <c r="MAY22" s="1773"/>
      <c r="MAZ22" s="1773"/>
      <c r="MBA22" s="1773"/>
      <c r="MBB22" s="1773"/>
      <c r="MBC22" s="1773"/>
      <c r="MBD22" s="1773"/>
      <c r="MBE22" s="1773"/>
      <c r="MBF22" s="1773"/>
      <c r="MBG22" s="1773"/>
      <c r="MBH22" s="1773"/>
      <c r="MBI22" s="1773"/>
      <c r="MBJ22" s="1773"/>
      <c r="MBK22" s="1773"/>
      <c r="MBL22" s="1773"/>
      <c r="MBM22" s="1773"/>
      <c r="MBN22" s="1773"/>
      <c r="MBO22" s="1773"/>
      <c r="MBP22" s="1773"/>
      <c r="MBQ22" s="1773"/>
      <c r="MBR22" s="1773"/>
      <c r="MBS22" s="1773"/>
      <c r="MBT22" s="1773"/>
      <c r="MBU22" s="1773"/>
      <c r="MBV22" s="1773"/>
      <c r="MBW22" s="1773"/>
      <c r="MBX22" s="1773"/>
      <c r="MBY22" s="1773"/>
      <c r="MBZ22" s="1773"/>
      <c r="MCA22" s="1773"/>
      <c r="MCB22" s="1773"/>
      <c r="MCC22" s="1773"/>
      <c r="MCD22" s="1773"/>
      <c r="MCE22" s="1773"/>
      <c r="MCF22" s="1773"/>
      <c r="MCG22" s="1773"/>
      <c r="MCH22" s="1773"/>
      <c r="MCI22" s="1773"/>
      <c r="MCJ22" s="1773"/>
      <c r="MCK22" s="1773"/>
      <c r="MCL22" s="1773"/>
      <c r="MCM22" s="1773"/>
      <c r="MCN22" s="1773"/>
      <c r="MCO22" s="1773"/>
      <c r="MCP22" s="1773"/>
      <c r="MCQ22" s="1773"/>
      <c r="MCR22" s="1773"/>
      <c r="MCS22" s="1773"/>
      <c r="MCT22" s="1773"/>
      <c r="MCU22" s="1773"/>
      <c r="MCV22" s="1773"/>
      <c r="MCW22" s="1773"/>
      <c r="MCX22" s="1773"/>
      <c r="MCY22" s="1773"/>
      <c r="MCZ22" s="1773"/>
      <c r="MDA22" s="1773"/>
      <c r="MDB22" s="1773"/>
      <c r="MDC22" s="1773"/>
      <c r="MDD22" s="1773"/>
      <c r="MDE22" s="1773"/>
      <c r="MDF22" s="1773"/>
      <c r="MDG22" s="1773"/>
      <c r="MDH22" s="1773"/>
      <c r="MDI22" s="1773"/>
      <c r="MDJ22" s="1773"/>
      <c r="MDK22" s="1773"/>
      <c r="MDL22" s="1773"/>
      <c r="MDM22" s="1773"/>
      <c r="MDN22" s="1773"/>
      <c r="MDO22" s="1773"/>
      <c r="MDP22" s="1773"/>
      <c r="MDQ22" s="1773"/>
      <c r="MDR22" s="1773"/>
      <c r="MDS22" s="1773"/>
      <c r="MDT22" s="1773"/>
      <c r="MDU22" s="1773"/>
      <c r="MDV22" s="1773"/>
      <c r="MDW22" s="1773"/>
      <c r="MDX22" s="1773"/>
      <c r="MDY22" s="1773"/>
      <c r="MDZ22" s="1773"/>
      <c r="MEA22" s="1773"/>
      <c r="MEB22" s="1773"/>
      <c r="MEC22" s="1773"/>
      <c r="MED22" s="1773"/>
      <c r="MEE22" s="1773"/>
      <c r="MEF22" s="1773"/>
      <c r="MEG22" s="1773"/>
      <c r="MEH22" s="1773"/>
      <c r="MEI22" s="1773"/>
      <c r="MEJ22" s="1773"/>
      <c r="MEK22" s="1773"/>
      <c r="MEL22" s="1773"/>
      <c r="MEM22" s="1773"/>
      <c r="MEN22" s="1773"/>
      <c r="MEO22" s="1773"/>
      <c r="MEP22" s="1773"/>
      <c r="MEQ22" s="1773"/>
      <c r="MER22" s="1773"/>
      <c r="MES22" s="1773"/>
      <c r="MET22" s="1773"/>
      <c r="MEU22" s="1773"/>
      <c r="MEV22" s="1773"/>
      <c r="MEW22" s="1773"/>
      <c r="MEX22" s="1773"/>
      <c r="MEY22" s="1773"/>
      <c r="MEZ22" s="1773"/>
      <c r="MFA22" s="1773"/>
      <c r="MFB22" s="1773"/>
      <c r="MFC22" s="1773"/>
      <c r="MFD22" s="1773"/>
      <c r="MFE22" s="1773"/>
      <c r="MFF22" s="1773"/>
      <c r="MFG22" s="1773"/>
      <c r="MFH22" s="1773"/>
      <c r="MFI22" s="1773"/>
      <c r="MFJ22" s="1773"/>
      <c r="MFK22" s="1773"/>
      <c r="MFL22" s="1773"/>
      <c r="MFM22" s="1773"/>
      <c r="MFN22" s="1773"/>
      <c r="MFO22" s="1773"/>
      <c r="MFP22" s="1773"/>
      <c r="MFQ22" s="1773"/>
      <c r="MFR22" s="1773"/>
      <c r="MFS22" s="1773"/>
      <c r="MFT22" s="1773"/>
      <c r="MFU22" s="1773"/>
      <c r="MFV22" s="1773"/>
      <c r="MFW22" s="1773"/>
      <c r="MFX22" s="1773"/>
      <c r="MFY22" s="1773"/>
      <c r="MFZ22" s="1773"/>
      <c r="MGA22" s="1773"/>
      <c r="MGB22" s="1773"/>
      <c r="MGC22" s="1773"/>
      <c r="MGD22" s="1773"/>
      <c r="MGE22" s="1773"/>
      <c r="MGF22" s="1773"/>
      <c r="MGG22" s="1773"/>
      <c r="MGH22" s="1773"/>
      <c r="MGI22" s="1773"/>
      <c r="MGJ22" s="1773"/>
      <c r="MGK22" s="1773"/>
      <c r="MGL22" s="1773"/>
      <c r="MGM22" s="1773"/>
      <c r="MGN22" s="1773"/>
      <c r="MGO22" s="1773"/>
      <c r="MGP22" s="1773"/>
      <c r="MGQ22" s="1773"/>
      <c r="MGR22" s="1773"/>
      <c r="MGS22" s="1773"/>
      <c r="MGT22" s="1773"/>
      <c r="MGU22" s="1773"/>
      <c r="MGV22" s="1773"/>
      <c r="MGW22" s="1773"/>
      <c r="MGX22" s="1773"/>
      <c r="MGY22" s="1773"/>
      <c r="MGZ22" s="1773"/>
      <c r="MHA22" s="1773"/>
      <c r="MHB22" s="1773"/>
      <c r="MHC22" s="1773"/>
      <c r="MHD22" s="1773"/>
      <c r="MHE22" s="1773"/>
      <c r="MHF22" s="1773"/>
      <c r="MHG22" s="1773"/>
      <c r="MHH22" s="1773"/>
      <c r="MHI22" s="1773"/>
      <c r="MHJ22" s="1773"/>
      <c r="MHK22" s="1773"/>
      <c r="MHL22" s="1773"/>
      <c r="MHM22" s="1773"/>
      <c r="MHN22" s="1773"/>
      <c r="MHO22" s="1773"/>
      <c r="MHP22" s="1773"/>
      <c r="MHQ22" s="1773"/>
      <c r="MHR22" s="1773"/>
      <c r="MHS22" s="1773"/>
      <c r="MHT22" s="1773"/>
      <c r="MHU22" s="1773"/>
      <c r="MHV22" s="1773"/>
      <c r="MHW22" s="1773"/>
      <c r="MHX22" s="1773"/>
      <c r="MHY22" s="1773"/>
      <c r="MHZ22" s="1773"/>
      <c r="MIA22" s="1773"/>
      <c r="MIB22" s="1773"/>
      <c r="MIC22" s="1773"/>
      <c r="MID22" s="1773"/>
      <c r="MIE22" s="1773"/>
      <c r="MIF22" s="1773"/>
      <c r="MIG22" s="1773"/>
      <c r="MIH22" s="1773"/>
      <c r="MII22" s="1773"/>
      <c r="MIJ22" s="1773"/>
      <c r="MIK22" s="1773"/>
      <c r="MIL22" s="1773"/>
      <c r="MIM22" s="1773"/>
      <c r="MIN22" s="1773"/>
      <c r="MIO22" s="1773"/>
      <c r="MIP22" s="1773"/>
      <c r="MIQ22" s="1773"/>
      <c r="MIR22" s="1773"/>
      <c r="MIS22" s="1773"/>
      <c r="MIT22" s="1773"/>
      <c r="MIU22" s="1773"/>
      <c r="MIV22" s="1773"/>
      <c r="MIW22" s="1773"/>
      <c r="MIX22" s="1773"/>
      <c r="MIY22" s="1773"/>
      <c r="MIZ22" s="1773"/>
      <c r="MJA22" s="1773"/>
      <c r="MJB22" s="1773"/>
      <c r="MJC22" s="1773"/>
      <c r="MJD22" s="1773"/>
      <c r="MJE22" s="1773"/>
      <c r="MJF22" s="1773"/>
      <c r="MJG22" s="1773"/>
      <c r="MJH22" s="1773"/>
      <c r="MJI22" s="1773"/>
      <c r="MJJ22" s="1773"/>
      <c r="MJK22" s="1773"/>
      <c r="MJL22" s="1773"/>
      <c r="MJM22" s="1773"/>
      <c r="MJN22" s="1773"/>
      <c r="MJO22" s="1773"/>
      <c r="MJP22" s="1773"/>
      <c r="MJQ22" s="1773"/>
      <c r="MJR22" s="1773"/>
      <c r="MJS22" s="1773"/>
      <c r="MJT22" s="1773"/>
      <c r="MJU22" s="1773"/>
      <c r="MJV22" s="1773"/>
      <c r="MJW22" s="1773"/>
      <c r="MJX22" s="1773"/>
      <c r="MJY22" s="1773"/>
      <c r="MJZ22" s="1773"/>
      <c r="MKA22" s="1773"/>
      <c r="MKB22" s="1773"/>
      <c r="MKC22" s="1773"/>
      <c r="MKD22" s="1773"/>
      <c r="MKE22" s="1773"/>
      <c r="MKF22" s="1773"/>
      <c r="MKG22" s="1773"/>
      <c r="MKH22" s="1773"/>
      <c r="MKI22" s="1773"/>
      <c r="MKJ22" s="1773"/>
      <c r="MKK22" s="1773"/>
      <c r="MKL22" s="1773"/>
      <c r="MKM22" s="1773"/>
      <c r="MKN22" s="1773"/>
      <c r="MKO22" s="1773"/>
      <c r="MKP22" s="1773"/>
      <c r="MKQ22" s="1773"/>
      <c r="MKR22" s="1773"/>
      <c r="MKS22" s="1773"/>
      <c r="MKT22" s="1773"/>
      <c r="MKU22" s="1773"/>
      <c r="MKV22" s="1773"/>
      <c r="MKW22" s="1773"/>
      <c r="MKX22" s="1773"/>
      <c r="MKY22" s="1773"/>
      <c r="MKZ22" s="1773"/>
      <c r="MLA22" s="1773"/>
      <c r="MLB22" s="1773"/>
      <c r="MLC22" s="1773"/>
      <c r="MLD22" s="1773"/>
      <c r="MLE22" s="1773"/>
      <c r="MLF22" s="1773"/>
      <c r="MLG22" s="1773"/>
      <c r="MLH22" s="1773"/>
      <c r="MLI22" s="1773"/>
      <c r="MLJ22" s="1773"/>
      <c r="MLK22" s="1773"/>
      <c r="MLL22" s="1773"/>
      <c r="MLM22" s="1773"/>
      <c r="MLN22" s="1773"/>
      <c r="MLO22" s="1773"/>
      <c r="MLP22" s="1773"/>
      <c r="MLQ22" s="1773"/>
      <c r="MLR22" s="1773"/>
      <c r="MLS22" s="1773"/>
      <c r="MLT22" s="1773"/>
      <c r="MLU22" s="1773"/>
      <c r="MLV22" s="1773"/>
      <c r="MLW22" s="1773"/>
      <c r="MLX22" s="1773"/>
      <c r="MLY22" s="1773"/>
      <c r="MLZ22" s="1773"/>
      <c r="MMA22" s="1773"/>
      <c r="MMB22" s="1773"/>
      <c r="MMC22" s="1773"/>
      <c r="MMD22" s="1773"/>
      <c r="MME22" s="1773"/>
      <c r="MMF22" s="1773"/>
      <c r="MMG22" s="1773"/>
      <c r="MMH22" s="1773"/>
      <c r="MMI22" s="1773"/>
      <c r="MMJ22" s="1773"/>
      <c r="MMK22" s="1773"/>
      <c r="MML22" s="1773"/>
      <c r="MMM22" s="1773"/>
      <c r="MMN22" s="1773"/>
      <c r="MMO22" s="1773"/>
      <c r="MMP22" s="1773"/>
      <c r="MMQ22" s="1773"/>
      <c r="MMR22" s="1773"/>
      <c r="MMS22" s="1773"/>
      <c r="MMT22" s="1773"/>
      <c r="MMU22" s="1773"/>
      <c r="MMV22" s="1773"/>
      <c r="MMW22" s="1773"/>
      <c r="MMX22" s="1773"/>
      <c r="MMY22" s="1773"/>
      <c r="MMZ22" s="1773"/>
      <c r="MNA22" s="1773"/>
      <c r="MNB22" s="1773"/>
      <c r="MNC22" s="1773"/>
      <c r="MND22" s="1773"/>
      <c r="MNE22" s="1773"/>
      <c r="MNF22" s="1773"/>
      <c r="MNG22" s="1773"/>
      <c r="MNH22" s="1773"/>
      <c r="MNI22" s="1773"/>
      <c r="MNJ22" s="1773"/>
      <c r="MNK22" s="1773"/>
      <c r="MNL22" s="1773"/>
      <c r="MNM22" s="1773"/>
      <c r="MNN22" s="1773"/>
      <c r="MNO22" s="1773"/>
      <c r="MNP22" s="1773"/>
      <c r="MNQ22" s="1773"/>
      <c r="MNR22" s="1773"/>
      <c r="MNS22" s="1773"/>
      <c r="MNT22" s="1773"/>
      <c r="MNU22" s="1773"/>
      <c r="MNV22" s="1773"/>
      <c r="MNW22" s="1773"/>
      <c r="MNX22" s="1773"/>
      <c r="MNY22" s="1773"/>
      <c r="MNZ22" s="1773"/>
      <c r="MOA22" s="1773"/>
      <c r="MOB22" s="1773"/>
      <c r="MOC22" s="1773"/>
      <c r="MOD22" s="1773"/>
      <c r="MOE22" s="1773"/>
      <c r="MOF22" s="1773"/>
      <c r="MOG22" s="1773"/>
      <c r="MOH22" s="1773"/>
      <c r="MOI22" s="1773"/>
      <c r="MOJ22" s="1773"/>
      <c r="MOK22" s="1773"/>
      <c r="MOL22" s="1773"/>
      <c r="MOM22" s="1773"/>
      <c r="MON22" s="1773"/>
      <c r="MOO22" s="1773"/>
      <c r="MOP22" s="1773"/>
      <c r="MOQ22" s="1773"/>
      <c r="MOR22" s="1773"/>
      <c r="MOS22" s="1773"/>
      <c r="MOT22" s="1773"/>
      <c r="MOU22" s="1773"/>
      <c r="MOV22" s="1773"/>
      <c r="MOW22" s="1773"/>
      <c r="MOX22" s="1773"/>
      <c r="MOY22" s="1773"/>
      <c r="MOZ22" s="1773"/>
      <c r="MPA22" s="1773"/>
      <c r="MPB22" s="1773"/>
      <c r="MPC22" s="1773"/>
      <c r="MPD22" s="1773"/>
      <c r="MPE22" s="1773"/>
      <c r="MPF22" s="1773"/>
      <c r="MPG22" s="1773"/>
      <c r="MPH22" s="1773"/>
      <c r="MPI22" s="1773"/>
      <c r="MPJ22" s="1773"/>
      <c r="MPK22" s="1773"/>
      <c r="MPL22" s="1773"/>
      <c r="MPM22" s="1773"/>
      <c r="MPN22" s="1773"/>
      <c r="MPO22" s="1773"/>
      <c r="MPP22" s="1773"/>
      <c r="MPQ22" s="1773"/>
      <c r="MPR22" s="1773"/>
      <c r="MPS22" s="1773"/>
      <c r="MPT22" s="1773"/>
      <c r="MPU22" s="1773"/>
      <c r="MPV22" s="1773"/>
      <c r="MPW22" s="1773"/>
      <c r="MPX22" s="1773"/>
      <c r="MPY22" s="1773"/>
      <c r="MPZ22" s="1773"/>
      <c r="MQA22" s="1773"/>
      <c r="MQB22" s="1773"/>
      <c r="MQC22" s="1773"/>
      <c r="MQD22" s="1773"/>
      <c r="MQE22" s="1773"/>
      <c r="MQF22" s="1773"/>
      <c r="MQG22" s="1773"/>
      <c r="MQH22" s="1773"/>
      <c r="MQI22" s="1773"/>
      <c r="MQJ22" s="1773"/>
      <c r="MQK22" s="1773"/>
      <c r="MQL22" s="1773"/>
      <c r="MQM22" s="1773"/>
      <c r="MQN22" s="1773"/>
      <c r="MQO22" s="1773"/>
      <c r="MQP22" s="1773"/>
      <c r="MQQ22" s="1773"/>
      <c r="MQR22" s="1773"/>
      <c r="MQS22" s="1773"/>
      <c r="MQT22" s="1773"/>
      <c r="MQU22" s="1773"/>
      <c r="MQV22" s="1773"/>
      <c r="MQW22" s="1773"/>
      <c r="MQX22" s="1773"/>
      <c r="MQY22" s="1773"/>
      <c r="MQZ22" s="1773"/>
      <c r="MRA22" s="1773"/>
      <c r="MRB22" s="1773"/>
      <c r="MRC22" s="1773"/>
      <c r="MRD22" s="1773"/>
      <c r="MRE22" s="1773"/>
      <c r="MRF22" s="1773"/>
      <c r="MRG22" s="1773"/>
      <c r="MRH22" s="1773"/>
      <c r="MRI22" s="1773"/>
      <c r="MRJ22" s="1773"/>
      <c r="MRK22" s="1773"/>
      <c r="MRL22" s="1773"/>
      <c r="MRM22" s="1773"/>
      <c r="MRN22" s="1773"/>
      <c r="MRO22" s="1773"/>
      <c r="MRP22" s="1773"/>
      <c r="MRQ22" s="1773"/>
      <c r="MRR22" s="1773"/>
      <c r="MRS22" s="1773"/>
      <c r="MRT22" s="1773"/>
      <c r="MRU22" s="1773"/>
      <c r="MRV22" s="1773"/>
      <c r="MRW22" s="1773"/>
      <c r="MRX22" s="1773"/>
      <c r="MRY22" s="1773"/>
      <c r="MRZ22" s="1773"/>
      <c r="MSA22" s="1773"/>
      <c r="MSB22" s="1773"/>
      <c r="MSC22" s="1773"/>
      <c r="MSD22" s="1773"/>
      <c r="MSE22" s="1773"/>
      <c r="MSF22" s="1773"/>
      <c r="MSG22" s="1773"/>
      <c r="MSH22" s="1773"/>
      <c r="MSI22" s="1773"/>
      <c r="MSJ22" s="1773"/>
      <c r="MSK22" s="1773"/>
      <c r="MSL22" s="1773"/>
      <c r="MSM22" s="1773"/>
      <c r="MSN22" s="1773"/>
      <c r="MSO22" s="1773"/>
      <c r="MSP22" s="1773"/>
      <c r="MSQ22" s="1773"/>
      <c r="MSR22" s="1773"/>
      <c r="MSS22" s="1773"/>
      <c r="MST22" s="1773"/>
      <c r="MSU22" s="1773"/>
      <c r="MSV22" s="1773"/>
      <c r="MSW22" s="1773"/>
      <c r="MSX22" s="1773"/>
      <c r="MSY22" s="1773"/>
      <c r="MSZ22" s="1773"/>
      <c r="MTA22" s="1773"/>
      <c r="MTB22" s="1773"/>
      <c r="MTC22" s="1773"/>
      <c r="MTD22" s="1773"/>
      <c r="MTE22" s="1773"/>
      <c r="MTF22" s="1773"/>
      <c r="MTG22" s="1773"/>
      <c r="MTH22" s="1773"/>
      <c r="MTI22" s="1773"/>
      <c r="MTJ22" s="1773"/>
      <c r="MTK22" s="1773"/>
      <c r="MTL22" s="1773"/>
      <c r="MTM22" s="1773"/>
      <c r="MTN22" s="1773"/>
      <c r="MTO22" s="1773"/>
      <c r="MTP22" s="1773"/>
      <c r="MTQ22" s="1773"/>
      <c r="MTR22" s="1773"/>
      <c r="MTS22" s="1773"/>
      <c r="MTT22" s="1773"/>
      <c r="MTU22" s="1773"/>
      <c r="MTV22" s="1773"/>
      <c r="MTW22" s="1773"/>
      <c r="MTX22" s="1773"/>
      <c r="MTY22" s="1773"/>
      <c r="MTZ22" s="1773"/>
      <c r="MUA22" s="1773"/>
      <c r="MUB22" s="1773"/>
      <c r="MUC22" s="1773"/>
      <c r="MUD22" s="1773"/>
      <c r="MUE22" s="1773"/>
      <c r="MUF22" s="1773"/>
      <c r="MUG22" s="1773"/>
      <c r="MUH22" s="1773"/>
      <c r="MUI22" s="1773"/>
      <c r="MUJ22" s="1773"/>
      <c r="MUK22" s="1773"/>
      <c r="MUL22" s="1773"/>
      <c r="MUM22" s="1773"/>
      <c r="MUN22" s="1773"/>
      <c r="MUO22" s="1773"/>
      <c r="MUP22" s="1773"/>
      <c r="MUQ22" s="1773"/>
      <c r="MUR22" s="1773"/>
      <c r="MUS22" s="1773"/>
      <c r="MUT22" s="1773"/>
      <c r="MUU22" s="1773"/>
      <c r="MUV22" s="1773"/>
      <c r="MUW22" s="1773"/>
      <c r="MUX22" s="1773"/>
      <c r="MUY22" s="1773"/>
      <c r="MUZ22" s="1773"/>
      <c r="MVA22" s="1773"/>
      <c r="MVB22" s="1773"/>
      <c r="MVC22" s="1773"/>
      <c r="MVD22" s="1773"/>
      <c r="MVE22" s="1773"/>
      <c r="MVF22" s="1773"/>
      <c r="MVG22" s="1773"/>
      <c r="MVH22" s="1773"/>
      <c r="MVI22" s="1773"/>
      <c r="MVJ22" s="1773"/>
      <c r="MVK22" s="1773"/>
      <c r="MVL22" s="1773"/>
      <c r="MVM22" s="1773"/>
      <c r="MVN22" s="1773"/>
      <c r="MVO22" s="1773"/>
      <c r="MVP22" s="1773"/>
      <c r="MVQ22" s="1773"/>
      <c r="MVR22" s="1773"/>
      <c r="MVS22" s="1773"/>
      <c r="MVT22" s="1773"/>
      <c r="MVU22" s="1773"/>
      <c r="MVV22" s="1773"/>
      <c r="MVW22" s="1773"/>
      <c r="MVX22" s="1773"/>
      <c r="MVY22" s="1773"/>
      <c r="MVZ22" s="1773"/>
      <c r="MWA22" s="1773"/>
      <c r="MWB22" s="1773"/>
      <c r="MWC22" s="1773"/>
      <c r="MWD22" s="1773"/>
      <c r="MWE22" s="1773"/>
      <c r="MWF22" s="1773"/>
      <c r="MWG22" s="1773"/>
      <c r="MWH22" s="1773"/>
      <c r="MWI22" s="1773"/>
      <c r="MWJ22" s="1773"/>
      <c r="MWK22" s="1773"/>
      <c r="MWL22" s="1773"/>
      <c r="MWM22" s="1773"/>
      <c r="MWN22" s="1773"/>
      <c r="MWO22" s="1773"/>
      <c r="MWP22" s="1773"/>
      <c r="MWQ22" s="1773"/>
      <c r="MWR22" s="1773"/>
      <c r="MWS22" s="1773"/>
      <c r="MWT22" s="1773"/>
      <c r="MWU22" s="1773"/>
      <c r="MWV22" s="1773"/>
      <c r="MWW22" s="1773"/>
      <c r="MWX22" s="1773"/>
      <c r="MWY22" s="1773"/>
      <c r="MWZ22" s="1773"/>
      <c r="MXA22" s="1773"/>
      <c r="MXB22" s="1773"/>
      <c r="MXC22" s="1773"/>
      <c r="MXD22" s="1773"/>
      <c r="MXE22" s="1773"/>
      <c r="MXF22" s="1773"/>
      <c r="MXG22" s="1773"/>
      <c r="MXH22" s="1773"/>
      <c r="MXI22" s="1773"/>
      <c r="MXJ22" s="1773"/>
      <c r="MXK22" s="1773"/>
      <c r="MXL22" s="1773"/>
      <c r="MXM22" s="1773"/>
      <c r="MXN22" s="1773"/>
      <c r="MXO22" s="1773"/>
      <c r="MXP22" s="1773"/>
      <c r="MXQ22" s="1773"/>
      <c r="MXR22" s="1773"/>
      <c r="MXS22" s="1773"/>
      <c r="MXT22" s="1773"/>
      <c r="MXU22" s="1773"/>
      <c r="MXV22" s="1773"/>
      <c r="MXW22" s="1773"/>
      <c r="MXX22" s="1773"/>
      <c r="MXY22" s="1773"/>
      <c r="MXZ22" s="1773"/>
      <c r="MYA22" s="1773"/>
      <c r="MYB22" s="1773"/>
      <c r="MYC22" s="1773"/>
      <c r="MYD22" s="1773"/>
      <c r="MYE22" s="1773"/>
      <c r="MYF22" s="1773"/>
      <c r="MYG22" s="1773"/>
      <c r="MYH22" s="1773"/>
      <c r="MYI22" s="1773"/>
      <c r="MYJ22" s="1773"/>
      <c r="MYK22" s="1773"/>
      <c r="MYL22" s="1773"/>
      <c r="MYM22" s="1773"/>
      <c r="MYN22" s="1773"/>
      <c r="MYO22" s="1773"/>
      <c r="MYP22" s="1773"/>
      <c r="MYQ22" s="1773"/>
      <c r="MYR22" s="1773"/>
      <c r="MYS22" s="1773"/>
      <c r="MYT22" s="1773"/>
      <c r="MYU22" s="1773"/>
      <c r="MYV22" s="1773"/>
      <c r="MYW22" s="1773"/>
      <c r="MYX22" s="1773"/>
      <c r="MYY22" s="1773"/>
      <c r="MYZ22" s="1773"/>
      <c r="MZA22" s="1773"/>
      <c r="MZB22" s="1773"/>
      <c r="MZC22" s="1773"/>
      <c r="MZD22" s="1773"/>
      <c r="MZE22" s="1773"/>
      <c r="MZF22" s="1773"/>
      <c r="MZG22" s="1773"/>
      <c r="MZH22" s="1773"/>
      <c r="MZI22" s="1773"/>
      <c r="MZJ22" s="1773"/>
      <c r="MZK22" s="1773"/>
      <c r="MZL22" s="1773"/>
      <c r="MZM22" s="1773"/>
      <c r="MZN22" s="1773"/>
      <c r="MZO22" s="1773"/>
      <c r="MZP22" s="1773"/>
      <c r="MZQ22" s="1773"/>
      <c r="MZR22" s="1773"/>
      <c r="MZS22" s="1773"/>
      <c r="MZT22" s="1773"/>
      <c r="MZU22" s="1773"/>
      <c r="MZV22" s="1773"/>
      <c r="MZW22" s="1773"/>
      <c r="MZX22" s="1773"/>
      <c r="MZY22" s="1773"/>
      <c r="MZZ22" s="1773"/>
      <c r="NAA22" s="1773"/>
      <c r="NAB22" s="1773"/>
      <c r="NAC22" s="1773"/>
      <c r="NAD22" s="1773"/>
      <c r="NAE22" s="1773"/>
      <c r="NAF22" s="1773"/>
      <c r="NAG22" s="1773"/>
      <c r="NAH22" s="1773"/>
      <c r="NAI22" s="1773"/>
      <c r="NAJ22" s="1773"/>
      <c r="NAK22" s="1773"/>
      <c r="NAL22" s="1773"/>
      <c r="NAM22" s="1773"/>
      <c r="NAN22" s="1773"/>
      <c r="NAO22" s="1773"/>
      <c r="NAP22" s="1773"/>
      <c r="NAQ22" s="1773"/>
      <c r="NAR22" s="1773"/>
      <c r="NAS22" s="1773"/>
      <c r="NAT22" s="1773"/>
      <c r="NAU22" s="1773"/>
      <c r="NAV22" s="1773"/>
      <c r="NAW22" s="1773"/>
      <c r="NAX22" s="1773"/>
      <c r="NAY22" s="1773"/>
      <c r="NAZ22" s="1773"/>
      <c r="NBA22" s="1773"/>
      <c r="NBB22" s="1773"/>
      <c r="NBC22" s="1773"/>
      <c r="NBD22" s="1773"/>
      <c r="NBE22" s="1773"/>
      <c r="NBF22" s="1773"/>
      <c r="NBG22" s="1773"/>
      <c r="NBH22" s="1773"/>
      <c r="NBI22" s="1773"/>
      <c r="NBJ22" s="1773"/>
      <c r="NBK22" s="1773"/>
      <c r="NBL22" s="1773"/>
      <c r="NBM22" s="1773"/>
      <c r="NBN22" s="1773"/>
      <c r="NBO22" s="1773"/>
      <c r="NBP22" s="1773"/>
      <c r="NBQ22" s="1773"/>
      <c r="NBR22" s="1773"/>
      <c r="NBS22" s="1773"/>
      <c r="NBT22" s="1773"/>
      <c r="NBU22" s="1773"/>
      <c r="NBV22" s="1773"/>
      <c r="NBW22" s="1773"/>
      <c r="NBX22" s="1773"/>
      <c r="NBY22" s="1773"/>
      <c r="NBZ22" s="1773"/>
      <c r="NCA22" s="1773"/>
      <c r="NCB22" s="1773"/>
      <c r="NCC22" s="1773"/>
      <c r="NCD22" s="1773"/>
      <c r="NCE22" s="1773"/>
      <c r="NCF22" s="1773"/>
      <c r="NCG22" s="1773"/>
      <c r="NCH22" s="1773"/>
      <c r="NCI22" s="1773"/>
      <c r="NCJ22" s="1773"/>
      <c r="NCK22" s="1773"/>
      <c r="NCL22" s="1773"/>
      <c r="NCM22" s="1773"/>
      <c r="NCN22" s="1773"/>
      <c r="NCO22" s="1773"/>
      <c r="NCP22" s="1773"/>
      <c r="NCQ22" s="1773"/>
      <c r="NCR22" s="1773"/>
      <c r="NCS22" s="1773"/>
      <c r="NCT22" s="1773"/>
      <c r="NCU22" s="1773"/>
      <c r="NCV22" s="1773"/>
      <c r="NCW22" s="1773"/>
      <c r="NCX22" s="1773"/>
      <c r="NCY22" s="1773"/>
      <c r="NCZ22" s="1773"/>
      <c r="NDA22" s="1773"/>
      <c r="NDB22" s="1773"/>
      <c r="NDC22" s="1773"/>
      <c r="NDD22" s="1773"/>
      <c r="NDE22" s="1773"/>
      <c r="NDF22" s="1773"/>
      <c r="NDG22" s="1773"/>
      <c r="NDH22" s="1773"/>
      <c r="NDI22" s="1773"/>
      <c r="NDJ22" s="1773"/>
      <c r="NDK22" s="1773"/>
      <c r="NDL22" s="1773"/>
      <c r="NDM22" s="1773"/>
      <c r="NDN22" s="1773"/>
      <c r="NDO22" s="1773"/>
      <c r="NDP22" s="1773"/>
      <c r="NDQ22" s="1773"/>
      <c r="NDR22" s="1773"/>
      <c r="NDS22" s="1773"/>
      <c r="NDT22" s="1773"/>
      <c r="NDU22" s="1773"/>
      <c r="NDV22" s="1773"/>
      <c r="NDW22" s="1773"/>
      <c r="NDX22" s="1773"/>
      <c r="NDY22" s="1773"/>
      <c r="NDZ22" s="1773"/>
      <c r="NEA22" s="1773"/>
      <c r="NEB22" s="1773"/>
      <c r="NEC22" s="1773"/>
      <c r="NED22" s="1773"/>
      <c r="NEE22" s="1773"/>
      <c r="NEF22" s="1773"/>
      <c r="NEG22" s="1773"/>
      <c r="NEH22" s="1773"/>
      <c r="NEI22" s="1773"/>
      <c r="NEJ22" s="1773"/>
      <c r="NEK22" s="1773"/>
      <c r="NEL22" s="1773"/>
      <c r="NEM22" s="1773"/>
      <c r="NEN22" s="1773"/>
      <c r="NEO22" s="1773"/>
      <c r="NEP22" s="1773"/>
      <c r="NEQ22" s="1773"/>
      <c r="NER22" s="1773"/>
      <c r="NES22" s="1773"/>
      <c r="NET22" s="1773"/>
      <c r="NEU22" s="1773"/>
      <c r="NEV22" s="1773"/>
      <c r="NEW22" s="1773"/>
      <c r="NEX22" s="1773"/>
      <c r="NEY22" s="1773"/>
      <c r="NEZ22" s="1773"/>
      <c r="NFA22" s="1773"/>
      <c r="NFB22" s="1773"/>
      <c r="NFC22" s="1773"/>
      <c r="NFD22" s="1773"/>
      <c r="NFE22" s="1773"/>
      <c r="NFF22" s="1773"/>
      <c r="NFG22" s="1773"/>
      <c r="NFH22" s="1773"/>
      <c r="NFI22" s="1773"/>
      <c r="NFJ22" s="1773"/>
      <c r="NFK22" s="1773"/>
      <c r="NFL22" s="1773"/>
      <c r="NFM22" s="1773"/>
      <c r="NFN22" s="1773"/>
      <c r="NFO22" s="1773"/>
      <c r="NFP22" s="1773"/>
      <c r="NFQ22" s="1773"/>
      <c r="NFR22" s="1773"/>
      <c r="NFS22" s="1773"/>
      <c r="NFT22" s="1773"/>
      <c r="NFU22" s="1773"/>
      <c r="NFV22" s="1773"/>
      <c r="NFW22" s="1773"/>
      <c r="NFX22" s="1773"/>
      <c r="NFY22" s="1773"/>
      <c r="NFZ22" s="1773"/>
      <c r="NGA22" s="1773"/>
      <c r="NGB22" s="1773"/>
      <c r="NGC22" s="1773"/>
      <c r="NGD22" s="1773"/>
      <c r="NGE22" s="1773"/>
      <c r="NGF22" s="1773"/>
      <c r="NGG22" s="1773"/>
      <c r="NGH22" s="1773"/>
      <c r="NGI22" s="1773"/>
      <c r="NGJ22" s="1773"/>
      <c r="NGK22" s="1773"/>
      <c r="NGL22" s="1773"/>
      <c r="NGM22" s="1773"/>
      <c r="NGN22" s="1773"/>
      <c r="NGO22" s="1773"/>
      <c r="NGP22" s="1773"/>
      <c r="NGQ22" s="1773"/>
      <c r="NGR22" s="1773"/>
      <c r="NGS22" s="1773"/>
      <c r="NGT22" s="1773"/>
      <c r="NGU22" s="1773"/>
      <c r="NGV22" s="1773"/>
      <c r="NGW22" s="1773"/>
      <c r="NGX22" s="1773"/>
      <c r="NGY22" s="1773"/>
      <c r="NGZ22" s="1773"/>
      <c r="NHA22" s="1773"/>
      <c r="NHB22" s="1773"/>
      <c r="NHC22" s="1773"/>
      <c r="NHD22" s="1773"/>
      <c r="NHE22" s="1773"/>
      <c r="NHF22" s="1773"/>
      <c r="NHG22" s="1773"/>
      <c r="NHH22" s="1773"/>
      <c r="NHI22" s="1773"/>
      <c r="NHJ22" s="1773"/>
      <c r="NHK22" s="1773"/>
      <c r="NHL22" s="1773"/>
      <c r="NHM22" s="1773"/>
      <c r="NHN22" s="1773"/>
      <c r="NHO22" s="1773"/>
      <c r="NHP22" s="1773"/>
      <c r="NHQ22" s="1773"/>
      <c r="NHR22" s="1773"/>
      <c r="NHS22" s="1773"/>
      <c r="NHT22" s="1773"/>
      <c r="NHU22" s="1773"/>
      <c r="NHV22" s="1773"/>
      <c r="NHW22" s="1773"/>
      <c r="NHX22" s="1773"/>
      <c r="NHY22" s="1773"/>
      <c r="NHZ22" s="1773"/>
      <c r="NIA22" s="1773"/>
      <c r="NIB22" s="1773"/>
      <c r="NIC22" s="1773"/>
      <c r="NID22" s="1773"/>
      <c r="NIE22" s="1773"/>
      <c r="NIF22" s="1773"/>
      <c r="NIG22" s="1773"/>
      <c r="NIH22" s="1773"/>
      <c r="NII22" s="1773"/>
      <c r="NIJ22" s="1773"/>
      <c r="NIK22" s="1773"/>
      <c r="NIL22" s="1773"/>
      <c r="NIM22" s="1773"/>
      <c r="NIN22" s="1773"/>
      <c r="NIO22" s="1773"/>
      <c r="NIP22" s="1773"/>
      <c r="NIQ22" s="1773"/>
      <c r="NIR22" s="1773"/>
      <c r="NIS22" s="1773"/>
      <c r="NIT22" s="1773"/>
      <c r="NIU22" s="1773"/>
      <c r="NIV22" s="1773"/>
      <c r="NIW22" s="1773"/>
      <c r="NIX22" s="1773"/>
      <c r="NIY22" s="1773"/>
      <c r="NIZ22" s="1773"/>
      <c r="NJA22" s="1773"/>
      <c r="NJB22" s="1773"/>
      <c r="NJC22" s="1773"/>
      <c r="NJD22" s="1773"/>
      <c r="NJE22" s="1773"/>
      <c r="NJF22" s="1773"/>
      <c r="NJG22" s="1773"/>
      <c r="NJH22" s="1773"/>
      <c r="NJI22" s="1773"/>
      <c r="NJJ22" s="1773"/>
      <c r="NJK22" s="1773"/>
      <c r="NJL22" s="1773"/>
      <c r="NJM22" s="1773"/>
      <c r="NJN22" s="1773"/>
      <c r="NJO22" s="1773"/>
      <c r="NJP22" s="1773"/>
      <c r="NJQ22" s="1773"/>
      <c r="NJR22" s="1773"/>
      <c r="NJS22" s="1773"/>
      <c r="NJT22" s="1773"/>
      <c r="NJU22" s="1773"/>
      <c r="NJV22" s="1773"/>
      <c r="NJW22" s="1773"/>
      <c r="NJX22" s="1773"/>
      <c r="NJY22" s="1773"/>
      <c r="NJZ22" s="1773"/>
      <c r="NKA22" s="1773"/>
      <c r="NKB22" s="1773"/>
      <c r="NKC22" s="1773"/>
      <c r="NKD22" s="1773"/>
      <c r="NKE22" s="1773"/>
      <c r="NKF22" s="1773"/>
      <c r="NKG22" s="1773"/>
      <c r="NKH22" s="1773"/>
      <c r="NKI22" s="1773"/>
      <c r="NKJ22" s="1773"/>
      <c r="NKK22" s="1773"/>
      <c r="NKL22" s="1773"/>
      <c r="NKM22" s="1773"/>
      <c r="NKN22" s="1773"/>
      <c r="NKO22" s="1773"/>
      <c r="NKP22" s="1773"/>
      <c r="NKQ22" s="1773"/>
      <c r="NKR22" s="1773"/>
      <c r="NKS22" s="1773"/>
      <c r="NKT22" s="1773"/>
      <c r="NKU22" s="1773"/>
      <c r="NKV22" s="1773"/>
      <c r="NKW22" s="1773"/>
      <c r="NKX22" s="1773"/>
      <c r="NKY22" s="1773"/>
      <c r="NKZ22" s="1773"/>
      <c r="NLA22" s="1773"/>
      <c r="NLB22" s="1773"/>
      <c r="NLC22" s="1773"/>
      <c r="NLD22" s="1773"/>
      <c r="NLE22" s="1773"/>
      <c r="NLF22" s="1773"/>
      <c r="NLG22" s="1773"/>
      <c r="NLH22" s="1773"/>
      <c r="NLI22" s="1773"/>
      <c r="NLJ22" s="1773"/>
      <c r="NLK22" s="1773"/>
      <c r="NLL22" s="1773"/>
      <c r="NLM22" s="1773"/>
      <c r="NLN22" s="1773"/>
      <c r="NLO22" s="1773"/>
      <c r="NLP22" s="1773"/>
      <c r="NLQ22" s="1773"/>
      <c r="NLR22" s="1773"/>
      <c r="NLS22" s="1773"/>
      <c r="NLT22" s="1773"/>
      <c r="NLU22" s="1773"/>
      <c r="NLV22" s="1773"/>
      <c r="NLW22" s="1773"/>
      <c r="NLX22" s="1773"/>
      <c r="NLY22" s="1773"/>
      <c r="NLZ22" s="1773"/>
      <c r="NMA22" s="1773"/>
      <c r="NMB22" s="1773"/>
      <c r="NMC22" s="1773"/>
      <c r="NMD22" s="1773"/>
      <c r="NME22" s="1773"/>
      <c r="NMF22" s="1773"/>
      <c r="NMG22" s="1773"/>
      <c r="NMH22" s="1773"/>
      <c r="NMI22" s="1773"/>
      <c r="NMJ22" s="1773"/>
      <c r="NMK22" s="1773"/>
      <c r="NML22" s="1773"/>
      <c r="NMM22" s="1773"/>
      <c r="NMN22" s="1773"/>
      <c r="NMO22" s="1773"/>
      <c r="NMP22" s="1773"/>
      <c r="NMQ22" s="1773"/>
      <c r="NMR22" s="1773"/>
      <c r="NMS22" s="1773"/>
      <c r="NMT22" s="1773"/>
      <c r="NMU22" s="1773"/>
      <c r="NMV22" s="1773"/>
      <c r="NMW22" s="1773"/>
      <c r="NMX22" s="1773"/>
      <c r="NMY22" s="1773"/>
      <c r="NMZ22" s="1773"/>
      <c r="NNA22" s="1773"/>
      <c r="NNB22" s="1773"/>
      <c r="NNC22" s="1773"/>
      <c r="NND22" s="1773"/>
      <c r="NNE22" s="1773"/>
      <c r="NNF22" s="1773"/>
      <c r="NNG22" s="1773"/>
      <c r="NNH22" s="1773"/>
      <c r="NNI22" s="1773"/>
      <c r="NNJ22" s="1773"/>
      <c r="NNK22" s="1773"/>
      <c r="NNL22" s="1773"/>
      <c r="NNM22" s="1773"/>
      <c r="NNN22" s="1773"/>
      <c r="NNO22" s="1773"/>
      <c r="NNP22" s="1773"/>
      <c r="NNQ22" s="1773"/>
      <c r="NNR22" s="1773"/>
      <c r="NNS22" s="1773"/>
      <c r="NNT22" s="1773"/>
      <c r="NNU22" s="1773"/>
      <c r="NNV22" s="1773"/>
      <c r="NNW22" s="1773"/>
      <c r="NNX22" s="1773"/>
      <c r="NNY22" s="1773"/>
      <c r="NNZ22" s="1773"/>
      <c r="NOA22" s="1773"/>
      <c r="NOB22" s="1773"/>
      <c r="NOC22" s="1773"/>
      <c r="NOD22" s="1773"/>
      <c r="NOE22" s="1773"/>
      <c r="NOF22" s="1773"/>
      <c r="NOG22" s="1773"/>
      <c r="NOH22" s="1773"/>
      <c r="NOI22" s="1773"/>
      <c r="NOJ22" s="1773"/>
      <c r="NOK22" s="1773"/>
      <c r="NOL22" s="1773"/>
      <c r="NOM22" s="1773"/>
      <c r="NON22" s="1773"/>
      <c r="NOO22" s="1773"/>
      <c r="NOP22" s="1773"/>
      <c r="NOQ22" s="1773"/>
      <c r="NOR22" s="1773"/>
      <c r="NOS22" s="1773"/>
      <c r="NOT22" s="1773"/>
      <c r="NOU22" s="1773"/>
      <c r="NOV22" s="1773"/>
      <c r="NOW22" s="1773"/>
      <c r="NOX22" s="1773"/>
      <c r="NOY22" s="1773"/>
      <c r="NOZ22" s="1773"/>
      <c r="NPA22" s="1773"/>
      <c r="NPB22" s="1773"/>
      <c r="NPC22" s="1773"/>
      <c r="NPD22" s="1773"/>
      <c r="NPE22" s="1773"/>
      <c r="NPF22" s="1773"/>
      <c r="NPG22" s="1773"/>
      <c r="NPH22" s="1773"/>
      <c r="NPI22" s="1773"/>
      <c r="NPJ22" s="1773"/>
      <c r="NPK22" s="1773"/>
      <c r="NPL22" s="1773"/>
      <c r="NPM22" s="1773"/>
      <c r="NPN22" s="1773"/>
      <c r="NPO22" s="1773"/>
      <c r="NPP22" s="1773"/>
      <c r="NPQ22" s="1773"/>
      <c r="NPR22" s="1773"/>
      <c r="NPS22" s="1773"/>
      <c r="NPT22" s="1773"/>
      <c r="NPU22" s="1773"/>
      <c r="NPV22" s="1773"/>
      <c r="NPW22" s="1773"/>
      <c r="NPX22" s="1773"/>
      <c r="NPY22" s="1773"/>
      <c r="NPZ22" s="1773"/>
      <c r="NQA22" s="1773"/>
      <c r="NQB22" s="1773"/>
      <c r="NQC22" s="1773"/>
      <c r="NQD22" s="1773"/>
      <c r="NQE22" s="1773"/>
      <c r="NQF22" s="1773"/>
      <c r="NQG22" s="1773"/>
      <c r="NQH22" s="1773"/>
      <c r="NQI22" s="1773"/>
      <c r="NQJ22" s="1773"/>
      <c r="NQK22" s="1773"/>
      <c r="NQL22" s="1773"/>
      <c r="NQM22" s="1773"/>
      <c r="NQN22" s="1773"/>
      <c r="NQO22" s="1773"/>
      <c r="NQP22" s="1773"/>
      <c r="NQQ22" s="1773"/>
      <c r="NQR22" s="1773"/>
      <c r="NQS22" s="1773"/>
      <c r="NQT22" s="1773"/>
      <c r="NQU22" s="1773"/>
      <c r="NQV22" s="1773"/>
      <c r="NQW22" s="1773"/>
      <c r="NQX22" s="1773"/>
      <c r="NQY22" s="1773"/>
      <c r="NQZ22" s="1773"/>
      <c r="NRA22" s="1773"/>
      <c r="NRB22" s="1773"/>
      <c r="NRC22" s="1773"/>
      <c r="NRD22" s="1773"/>
      <c r="NRE22" s="1773"/>
      <c r="NRF22" s="1773"/>
      <c r="NRG22" s="1773"/>
      <c r="NRH22" s="1773"/>
      <c r="NRI22" s="1773"/>
      <c r="NRJ22" s="1773"/>
      <c r="NRK22" s="1773"/>
      <c r="NRL22" s="1773"/>
      <c r="NRM22" s="1773"/>
      <c r="NRN22" s="1773"/>
      <c r="NRO22" s="1773"/>
      <c r="NRP22" s="1773"/>
      <c r="NRQ22" s="1773"/>
      <c r="NRR22" s="1773"/>
      <c r="NRS22" s="1773"/>
      <c r="NRT22" s="1773"/>
      <c r="NRU22" s="1773"/>
      <c r="NRV22" s="1773"/>
      <c r="NRW22" s="1773"/>
      <c r="NRX22" s="1773"/>
      <c r="NRY22" s="1773"/>
      <c r="NRZ22" s="1773"/>
      <c r="NSA22" s="1773"/>
      <c r="NSB22" s="1773"/>
      <c r="NSC22" s="1773"/>
      <c r="NSD22" s="1773"/>
      <c r="NSE22" s="1773"/>
      <c r="NSF22" s="1773"/>
      <c r="NSG22" s="1773"/>
      <c r="NSH22" s="1773"/>
      <c r="NSI22" s="1773"/>
      <c r="NSJ22" s="1773"/>
      <c r="NSK22" s="1773"/>
      <c r="NSL22" s="1773"/>
      <c r="NSM22" s="1773"/>
      <c r="NSN22" s="1773"/>
      <c r="NSO22" s="1773"/>
      <c r="NSP22" s="1773"/>
      <c r="NSQ22" s="1773"/>
      <c r="NSR22" s="1773"/>
      <c r="NSS22" s="1773"/>
      <c r="NST22" s="1773"/>
      <c r="NSU22" s="1773"/>
      <c r="NSV22" s="1773"/>
      <c r="NSW22" s="1773"/>
      <c r="NSX22" s="1773"/>
      <c r="NSY22" s="1773"/>
      <c r="NSZ22" s="1773"/>
      <c r="NTA22" s="1773"/>
      <c r="NTB22" s="1773"/>
      <c r="NTC22" s="1773"/>
      <c r="NTD22" s="1773"/>
      <c r="NTE22" s="1773"/>
      <c r="NTF22" s="1773"/>
      <c r="NTG22" s="1773"/>
      <c r="NTH22" s="1773"/>
      <c r="NTI22" s="1773"/>
      <c r="NTJ22" s="1773"/>
      <c r="NTK22" s="1773"/>
      <c r="NTL22" s="1773"/>
      <c r="NTM22" s="1773"/>
      <c r="NTN22" s="1773"/>
      <c r="NTO22" s="1773"/>
      <c r="NTP22" s="1773"/>
      <c r="NTQ22" s="1773"/>
      <c r="NTR22" s="1773"/>
      <c r="NTS22" s="1773"/>
      <c r="NTT22" s="1773"/>
      <c r="NTU22" s="1773"/>
      <c r="NTV22" s="1773"/>
      <c r="NTW22" s="1773"/>
      <c r="NTX22" s="1773"/>
      <c r="NTY22" s="1773"/>
      <c r="NTZ22" s="1773"/>
      <c r="NUA22" s="1773"/>
      <c r="NUB22" s="1773"/>
      <c r="NUC22" s="1773"/>
      <c r="NUD22" s="1773"/>
      <c r="NUE22" s="1773"/>
      <c r="NUF22" s="1773"/>
      <c r="NUG22" s="1773"/>
      <c r="NUH22" s="1773"/>
      <c r="NUI22" s="1773"/>
      <c r="NUJ22" s="1773"/>
      <c r="NUK22" s="1773"/>
      <c r="NUL22" s="1773"/>
      <c r="NUM22" s="1773"/>
      <c r="NUN22" s="1773"/>
      <c r="NUO22" s="1773"/>
      <c r="NUP22" s="1773"/>
      <c r="NUQ22" s="1773"/>
      <c r="NUR22" s="1773"/>
      <c r="NUS22" s="1773"/>
      <c r="NUT22" s="1773"/>
      <c r="NUU22" s="1773"/>
      <c r="NUV22" s="1773"/>
      <c r="NUW22" s="1773"/>
      <c r="NUX22" s="1773"/>
      <c r="NUY22" s="1773"/>
      <c r="NUZ22" s="1773"/>
      <c r="NVA22" s="1773"/>
      <c r="NVB22" s="1773"/>
      <c r="NVC22" s="1773"/>
      <c r="NVD22" s="1773"/>
      <c r="NVE22" s="1773"/>
      <c r="NVF22" s="1773"/>
      <c r="NVG22" s="1773"/>
      <c r="NVH22" s="1773"/>
      <c r="NVI22" s="1773"/>
      <c r="NVJ22" s="1773"/>
      <c r="NVK22" s="1773"/>
      <c r="NVL22" s="1773"/>
      <c r="NVM22" s="1773"/>
      <c r="NVN22" s="1773"/>
      <c r="NVO22" s="1773"/>
      <c r="NVP22" s="1773"/>
      <c r="NVQ22" s="1773"/>
      <c r="NVR22" s="1773"/>
      <c r="NVS22" s="1773"/>
      <c r="NVT22" s="1773"/>
      <c r="NVU22" s="1773"/>
      <c r="NVV22" s="1773"/>
      <c r="NVW22" s="1773"/>
      <c r="NVX22" s="1773"/>
      <c r="NVY22" s="1773"/>
      <c r="NVZ22" s="1773"/>
      <c r="NWA22" s="1773"/>
      <c r="NWB22" s="1773"/>
      <c r="NWC22" s="1773"/>
      <c r="NWD22" s="1773"/>
      <c r="NWE22" s="1773"/>
      <c r="NWF22" s="1773"/>
      <c r="NWG22" s="1773"/>
      <c r="NWH22" s="1773"/>
      <c r="NWI22" s="1773"/>
      <c r="NWJ22" s="1773"/>
      <c r="NWK22" s="1773"/>
      <c r="NWL22" s="1773"/>
      <c r="NWM22" s="1773"/>
      <c r="NWN22" s="1773"/>
      <c r="NWO22" s="1773"/>
      <c r="NWP22" s="1773"/>
      <c r="NWQ22" s="1773"/>
      <c r="NWR22" s="1773"/>
      <c r="NWS22" s="1773"/>
      <c r="NWT22" s="1773"/>
      <c r="NWU22" s="1773"/>
      <c r="NWV22" s="1773"/>
      <c r="NWW22" s="1773"/>
      <c r="NWX22" s="1773"/>
      <c r="NWY22" s="1773"/>
      <c r="NWZ22" s="1773"/>
      <c r="NXA22" s="1773"/>
      <c r="NXB22" s="1773"/>
      <c r="NXC22" s="1773"/>
      <c r="NXD22" s="1773"/>
      <c r="NXE22" s="1773"/>
      <c r="NXF22" s="1773"/>
      <c r="NXG22" s="1773"/>
      <c r="NXH22" s="1773"/>
      <c r="NXI22" s="1773"/>
      <c r="NXJ22" s="1773"/>
      <c r="NXK22" s="1773"/>
      <c r="NXL22" s="1773"/>
      <c r="NXM22" s="1773"/>
      <c r="NXN22" s="1773"/>
      <c r="NXO22" s="1773"/>
      <c r="NXP22" s="1773"/>
      <c r="NXQ22" s="1773"/>
      <c r="NXR22" s="1773"/>
      <c r="NXS22" s="1773"/>
      <c r="NXT22" s="1773"/>
      <c r="NXU22" s="1773"/>
      <c r="NXV22" s="1773"/>
      <c r="NXW22" s="1773"/>
      <c r="NXX22" s="1773"/>
      <c r="NXY22" s="1773"/>
      <c r="NXZ22" s="1773"/>
      <c r="NYA22" s="1773"/>
      <c r="NYB22" s="1773"/>
      <c r="NYC22" s="1773"/>
      <c r="NYD22" s="1773"/>
      <c r="NYE22" s="1773"/>
      <c r="NYF22" s="1773"/>
      <c r="NYG22" s="1773"/>
      <c r="NYH22" s="1773"/>
      <c r="NYI22" s="1773"/>
      <c r="NYJ22" s="1773"/>
      <c r="NYK22" s="1773"/>
      <c r="NYL22" s="1773"/>
      <c r="NYM22" s="1773"/>
      <c r="NYN22" s="1773"/>
      <c r="NYO22" s="1773"/>
      <c r="NYP22" s="1773"/>
      <c r="NYQ22" s="1773"/>
      <c r="NYR22" s="1773"/>
      <c r="NYS22" s="1773"/>
      <c r="NYT22" s="1773"/>
      <c r="NYU22" s="1773"/>
      <c r="NYV22" s="1773"/>
      <c r="NYW22" s="1773"/>
      <c r="NYX22" s="1773"/>
      <c r="NYY22" s="1773"/>
      <c r="NYZ22" s="1773"/>
      <c r="NZA22" s="1773"/>
      <c r="NZB22" s="1773"/>
      <c r="NZC22" s="1773"/>
      <c r="NZD22" s="1773"/>
      <c r="NZE22" s="1773"/>
      <c r="NZF22" s="1773"/>
      <c r="NZG22" s="1773"/>
      <c r="NZH22" s="1773"/>
      <c r="NZI22" s="1773"/>
      <c r="NZJ22" s="1773"/>
      <c r="NZK22" s="1773"/>
      <c r="NZL22" s="1773"/>
      <c r="NZM22" s="1773"/>
      <c r="NZN22" s="1773"/>
      <c r="NZO22" s="1773"/>
      <c r="NZP22" s="1773"/>
      <c r="NZQ22" s="1773"/>
      <c r="NZR22" s="1773"/>
      <c r="NZS22" s="1773"/>
      <c r="NZT22" s="1773"/>
      <c r="NZU22" s="1773"/>
      <c r="NZV22" s="1773"/>
      <c r="NZW22" s="1773"/>
      <c r="NZX22" s="1773"/>
      <c r="NZY22" s="1773"/>
      <c r="NZZ22" s="1773"/>
      <c r="OAA22" s="1773"/>
      <c r="OAB22" s="1773"/>
      <c r="OAC22" s="1773"/>
      <c r="OAD22" s="1773"/>
      <c r="OAE22" s="1773"/>
      <c r="OAF22" s="1773"/>
      <c r="OAG22" s="1773"/>
      <c r="OAH22" s="1773"/>
      <c r="OAI22" s="1773"/>
      <c r="OAJ22" s="1773"/>
      <c r="OAK22" s="1773"/>
      <c r="OAL22" s="1773"/>
      <c r="OAM22" s="1773"/>
      <c r="OAN22" s="1773"/>
      <c r="OAO22" s="1773"/>
      <c r="OAP22" s="1773"/>
      <c r="OAQ22" s="1773"/>
      <c r="OAR22" s="1773"/>
      <c r="OAS22" s="1773"/>
      <c r="OAT22" s="1773"/>
      <c r="OAU22" s="1773"/>
      <c r="OAV22" s="1773"/>
      <c r="OAW22" s="1773"/>
      <c r="OAX22" s="1773"/>
      <c r="OAY22" s="1773"/>
      <c r="OAZ22" s="1773"/>
      <c r="OBA22" s="1773"/>
      <c r="OBB22" s="1773"/>
      <c r="OBC22" s="1773"/>
      <c r="OBD22" s="1773"/>
      <c r="OBE22" s="1773"/>
      <c r="OBF22" s="1773"/>
      <c r="OBG22" s="1773"/>
      <c r="OBH22" s="1773"/>
      <c r="OBI22" s="1773"/>
      <c r="OBJ22" s="1773"/>
      <c r="OBK22" s="1773"/>
      <c r="OBL22" s="1773"/>
      <c r="OBM22" s="1773"/>
      <c r="OBN22" s="1773"/>
      <c r="OBO22" s="1773"/>
      <c r="OBP22" s="1773"/>
      <c r="OBQ22" s="1773"/>
      <c r="OBR22" s="1773"/>
      <c r="OBS22" s="1773"/>
      <c r="OBT22" s="1773"/>
      <c r="OBU22" s="1773"/>
      <c r="OBV22" s="1773"/>
      <c r="OBW22" s="1773"/>
      <c r="OBX22" s="1773"/>
      <c r="OBY22" s="1773"/>
      <c r="OBZ22" s="1773"/>
      <c r="OCA22" s="1773"/>
      <c r="OCB22" s="1773"/>
      <c r="OCC22" s="1773"/>
      <c r="OCD22" s="1773"/>
      <c r="OCE22" s="1773"/>
      <c r="OCF22" s="1773"/>
      <c r="OCG22" s="1773"/>
      <c r="OCH22" s="1773"/>
      <c r="OCI22" s="1773"/>
      <c r="OCJ22" s="1773"/>
      <c r="OCK22" s="1773"/>
      <c r="OCL22" s="1773"/>
      <c r="OCM22" s="1773"/>
      <c r="OCN22" s="1773"/>
      <c r="OCO22" s="1773"/>
      <c r="OCP22" s="1773"/>
      <c r="OCQ22" s="1773"/>
      <c r="OCR22" s="1773"/>
      <c r="OCS22" s="1773"/>
      <c r="OCT22" s="1773"/>
      <c r="OCU22" s="1773"/>
      <c r="OCV22" s="1773"/>
      <c r="OCW22" s="1773"/>
      <c r="OCX22" s="1773"/>
      <c r="OCY22" s="1773"/>
      <c r="OCZ22" s="1773"/>
      <c r="ODA22" s="1773"/>
      <c r="ODB22" s="1773"/>
      <c r="ODC22" s="1773"/>
      <c r="ODD22" s="1773"/>
      <c r="ODE22" s="1773"/>
      <c r="ODF22" s="1773"/>
      <c r="ODG22" s="1773"/>
      <c r="ODH22" s="1773"/>
      <c r="ODI22" s="1773"/>
      <c r="ODJ22" s="1773"/>
      <c r="ODK22" s="1773"/>
      <c r="ODL22" s="1773"/>
      <c r="ODM22" s="1773"/>
      <c r="ODN22" s="1773"/>
      <c r="ODO22" s="1773"/>
      <c r="ODP22" s="1773"/>
      <c r="ODQ22" s="1773"/>
      <c r="ODR22" s="1773"/>
      <c r="ODS22" s="1773"/>
      <c r="ODT22" s="1773"/>
      <c r="ODU22" s="1773"/>
      <c r="ODV22" s="1773"/>
      <c r="ODW22" s="1773"/>
      <c r="ODX22" s="1773"/>
      <c r="ODY22" s="1773"/>
      <c r="ODZ22" s="1773"/>
      <c r="OEA22" s="1773"/>
      <c r="OEB22" s="1773"/>
      <c r="OEC22" s="1773"/>
      <c r="OED22" s="1773"/>
      <c r="OEE22" s="1773"/>
      <c r="OEF22" s="1773"/>
      <c r="OEG22" s="1773"/>
      <c r="OEH22" s="1773"/>
      <c r="OEI22" s="1773"/>
      <c r="OEJ22" s="1773"/>
      <c r="OEK22" s="1773"/>
      <c r="OEL22" s="1773"/>
      <c r="OEM22" s="1773"/>
      <c r="OEN22" s="1773"/>
      <c r="OEO22" s="1773"/>
      <c r="OEP22" s="1773"/>
      <c r="OEQ22" s="1773"/>
      <c r="OER22" s="1773"/>
      <c r="OES22" s="1773"/>
      <c r="OET22" s="1773"/>
      <c r="OEU22" s="1773"/>
      <c r="OEV22" s="1773"/>
      <c r="OEW22" s="1773"/>
      <c r="OEX22" s="1773"/>
      <c r="OEY22" s="1773"/>
      <c r="OEZ22" s="1773"/>
      <c r="OFA22" s="1773"/>
      <c r="OFB22" s="1773"/>
      <c r="OFC22" s="1773"/>
      <c r="OFD22" s="1773"/>
      <c r="OFE22" s="1773"/>
      <c r="OFF22" s="1773"/>
      <c r="OFG22" s="1773"/>
      <c r="OFH22" s="1773"/>
      <c r="OFI22" s="1773"/>
      <c r="OFJ22" s="1773"/>
      <c r="OFK22" s="1773"/>
      <c r="OFL22" s="1773"/>
      <c r="OFM22" s="1773"/>
      <c r="OFN22" s="1773"/>
      <c r="OFO22" s="1773"/>
      <c r="OFP22" s="1773"/>
      <c r="OFQ22" s="1773"/>
      <c r="OFR22" s="1773"/>
      <c r="OFS22" s="1773"/>
      <c r="OFT22" s="1773"/>
      <c r="OFU22" s="1773"/>
      <c r="OFV22" s="1773"/>
      <c r="OFW22" s="1773"/>
      <c r="OFX22" s="1773"/>
      <c r="OFY22" s="1773"/>
      <c r="OFZ22" s="1773"/>
      <c r="OGA22" s="1773"/>
      <c r="OGB22" s="1773"/>
      <c r="OGC22" s="1773"/>
      <c r="OGD22" s="1773"/>
      <c r="OGE22" s="1773"/>
      <c r="OGF22" s="1773"/>
      <c r="OGG22" s="1773"/>
      <c r="OGH22" s="1773"/>
      <c r="OGI22" s="1773"/>
      <c r="OGJ22" s="1773"/>
      <c r="OGK22" s="1773"/>
      <c r="OGL22" s="1773"/>
      <c r="OGM22" s="1773"/>
      <c r="OGN22" s="1773"/>
      <c r="OGO22" s="1773"/>
      <c r="OGP22" s="1773"/>
      <c r="OGQ22" s="1773"/>
      <c r="OGR22" s="1773"/>
      <c r="OGS22" s="1773"/>
      <c r="OGT22" s="1773"/>
      <c r="OGU22" s="1773"/>
      <c r="OGV22" s="1773"/>
      <c r="OGW22" s="1773"/>
      <c r="OGX22" s="1773"/>
      <c r="OGY22" s="1773"/>
      <c r="OGZ22" s="1773"/>
      <c r="OHA22" s="1773"/>
      <c r="OHB22" s="1773"/>
      <c r="OHC22" s="1773"/>
      <c r="OHD22" s="1773"/>
      <c r="OHE22" s="1773"/>
      <c r="OHF22" s="1773"/>
      <c r="OHG22" s="1773"/>
      <c r="OHH22" s="1773"/>
      <c r="OHI22" s="1773"/>
      <c r="OHJ22" s="1773"/>
      <c r="OHK22" s="1773"/>
      <c r="OHL22" s="1773"/>
      <c r="OHM22" s="1773"/>
      <c r="OHN22" s="1773"/>
      <c r="OHO22" s="1773"/>
      <c r="OHP22" s="1773"/>
      <c r="OHQ22" s="1773"/>
      <c r="OHR22" s="1773"/>
      <c r="OHS22" s="1773"/>
      <c r="OHT22" s="1773"/>
      <c r="OHU22" s="1773"/>
      <c r="OHV22" s="1773"/>
      <c r="OHW22" s="1773"/>
      <c r="OHX22" s="1773"/>
      <c r="OHY22" s="1773"/>
      <c r="OHZ22" s="1773"/>
      <c r="OIA22" s="1773"/>
      <c r="OIB22" s="1773"/>
      <c r="OIC22" s="1773"/>
      <c r="OID22" s="1773"/>
      <c r="OIE22" s="1773"/>
      <c r="OIF22" s="1773"/>
      <c r="OIG22" s="1773"/>
      <c r="OIH22" s="1773"/>
      <c r="OII22" s="1773"/>
      <c r="OIJ22" s="1773"/>
      <c r="OIK22" s="1773"/>
      <c r="OIL22" s="1773"/>
      <c r="OIM22" s="1773"/>
      <c r="OIN22" s="1773"/>
      <c r="OIO22" s="1773"/>
      <c r="OIP22" s="1773"/>
      <c r="OIQ22" s="1773"/>
      <c r="OIR22" s="1773"/>
      <c r="OIS22" s="1773"/>
      <c r="OIT22" s="1773"/>
      <c r="OIU22" s="1773"/>
      <c r="OIV22" s="1773"/>
      <c r="OIW22" s="1773"/>
      <c r="OIX22" s="1773"/>
      <c r="OIY22" s="1773"/>
      <c r="OIZ22" s="1773"/>
      <c r="OJA22" s="1773"/>
      <c r="OJB22" s="1773"/>
      <c r="OJC22" s="1773"/>
      <c r="OJD22" s="1773"/>
      <c r="OJE22" s="1773"/>
      <c r="OJF22" s="1773"/>
      <c r="OJG22" s="1773"/>
      <c r="OJH22" s="1773"/>
      <c r="OJI22" s="1773"/>
      <c r="OJJ22" s="1773"/>
      <c r="OJK22" s="1773"/>
      <c r="OJL22" s="1773"/>
      <c r="OJM22" s="1773"/>
      <c r="OJN22" s="1773"/>
      <c r="OJO22" s="1773"/>
      <c r="OJP22" s="1773"/>
      <c r="OJQ22" s="1773"/>
      <c r="OJR22" s="1773"/>
      <c r="OJS22" s="1773"/>
      <c r="OJT22" s="1773"/>
      <c r="OJU22" s="1773"/>
      <c r="OJV22" s="1773"/>
      <c r="OJW22" s="1773"/>
      <c r="OJX22" s="1773"/>
      <c r="OJY22" s="1773"/>
      <c r="OJZ22" s="1773"/>
      <c r="OKA22" s="1773"/>
      <c r="OKB22" s="1773"/>
      <c r="OKC22" s="1773"/>
      <c r="OKD22" s="1773"/>
      <c r="OKE22" s="1773"/>
      <c r="OKF22" s="1773"/>
      <c r="OKG22" s="1773"/>
      <c r="OKH22" s="1773"/>
      <c r="OKI22" s="1773"/>
      <c r="OKJ22" s="1773"/>
      <c r="OKK22" s="1773"/>
      <c r="OKL22" s="1773"/>
      <c r="OKM22" s="1773"/>
      <c r="OKN22" s="1773"/>
      <c r="OKO22" s="1773"/>
      <c r="OKP22" s="1773"/>
      <c r="OKQ22" s="1773"/>
      <c r="OKR22" s="1773"/>
      <c r="OKS22" s="1773"/>
      <c r="OKT22" s="1773"/>
      <c r="OKU22" s="1773"/>
      <c r="OKV22" s="1773"/>
      <c r="OKW22" s="1773"/>
      <c r="OKX22" s="1773"/>
      <c r="OKY22" s="1773"/>
      <c r="OKZ22" s="1773"/>
      <c r="OLA22" s="1773"/>
      <c r="OLB22" s="1773"/>
      <c r="OLC22" s="1773"/>
      <c r="OLD22" s="1773"/>
      <c r="OLE22" s="1773"/>
      <c r="OLF22" s="1773"/>
      <c r="OLG22" s="1773"/>
      <c r="OLH22" s="1773"/>
      <c r="OLI22" s="1773"/>
      <c r="OLJ22" s="1773"/>
      <c r="OLK22" s="1773"/>
      <c r="OLL22" s="1773"/>
      <c r="OLM22" s="1773"/>
      <c r="OLN22" s="1773"/>
      <c r="OLO22" s="1773"/>
      <c r="OLP22" s="1773"/>
      <c r="OLQ22" s="1773"/>
      <c r="OLR22" s="1773"/>
      <c r="OLS22" s="1773"/>
      <c r="OLT22" s="1773"/>
      <c r="OLU22" s="1773"/>
      <c r="OLV22" s="1773"/>
      <c r="OLW22" s="1773"/>
      <c r="OLX22" s="1773"/>
      <c r="OLY22" s="1773"/>
      <c r="OLZ22" s="1773"/>
      <c r="OMA22" s="1773"/>
      <c r="OMB22" s="1773"/>
      <c r="OMC22" s="1773"/>
      <c r="OMD22" s="1773"/>
      <c r="OME22" s="1773"/>
      <c r="OMF22" s="1773"/>
      <c r="OMG22" s="1773"/>
      <c r="OMH22" s="1773"/>
      <c r="OMI22" s="1773"/>
      <c r="OMJ22" s="1773"/>
      <c r="OMK22" s="1773"/>
      <c r="OML22" s="1773"/>
      <c r="OMM22" s="1773"/>
      <c r="OMN22" s="1773"/>
      <c r="OMO22" s="1773"/>
      <c r="OMP22" s="1773"/>
      <c r="OMQ22" s="1773"/>
      <c r="OMR22" s="1773"/>
      <c r="OMS22" s="1773"/>
      <c r="OMT22" s="1773"/>
      <c r="OMU22" s="1773"/>
      <c r="OMV22" s="1773"/>
      <c r="OMW22" s="1773"/>
      <c r="OMX22" s="1773"/>
      <c r="OMY22" s="1773"/>
      <c r="OMZ22" s="1773"/>
      <c r="ONA22" s="1773"/>
      <c r="ONB22" s="1773"/>
      <c r="ONC22" s="1773"/>
      <c r="OND22" s="1773"/>
      <c r="ONE22" s="1773"/>
      <c r="ONF22" s="1773"/>
      <c r="ONG22" s="1773"/>
      <c r="ONH22" s="1773"/>
      <c r="ONI22" s="1773"/>
      <c r="ONJ22" s="1773"/>
      <c r="ONK22" s="1773"/>
      <c r="ONL22" s="1773"/>
      <c r="ONM22" s="1773"/>
      <c r="ONN22" s="1773"/>
      <c r="ONO22" s="1773"/>
      <c r="ONP22" s="1773"/>
      <c r="ONQ22" s="1773"/>
      <c r="ONR22" s="1773"/>
      <c r="ONS22" s="1773"/>
      <c r="ONT22" s="1773"/>
      <c r="ONU22" s="1773"/>
      <c r="ONV22" s="1773"/>
      <c r="ONW22" s="1773"/>
      <c r="ONX22" s="1773"/>
      <c r="ONY22" s="1773"/>
      <c r="ONZ22" s="1773"/>
      <c r="OOA22" s="1773"/>
      <c r="OOB22" s="1773"/>
      <c r="OOC22" s="1773"/>
      <c r="OOD22" s="1773"/>
      <c r="OOE22" s="1773"/>
      <c r="OOF22" s="1773"/>
      <c r="OOG22" s="1773"/>
      <c r="OOH22" s="1773"/>
      <c r="OOI22" s="1773"/>
      <c r="OOJ22" s="1773"/>
      <c r="OOK22" s="1773"/>
      <c r="OOL22" s="1773"/>
      <c r="OOM22" s="1773"/>
      <c r="OON22" s="1773"/>
      <c r="OOO22" s="1773"/>
      <c r="OOP22" s="1773"/>
      <c r="OOQ22" s="1773"/>
      <c r="OOR22" s="1773"/>
      <c r="OOS22" s="1773"/>
      <c r="OOT22" s="1773"/>
      <c r="OOU22" s="1773"/>
      <c r="OOV22" s="1773"/>
      <c r="OOW22" s="1773"/>
      <c r="OOX22" s="1773"/>
      <c r="OOY22" s="1773"/>
      <c r="OOZ22" s="1773"/>
      <c r="OPA22" s="1773"/>
      <c r="OPB22" s="1773"/>
      <c r="OPC22" s="1773"/>
      <c r="OPD22" s="1773"/>
      <c r="OPE22" s="1773"/>
      <c r="OPF22" s="1773"/>
      <c r="OPG22" s="1773"/>
      <c r="OPH22" s="1773"/>
      <c r="OPI22" s="1773"/>
      <c r="OPJ22" s="1773"/>
      <c r="OPK22" s="1773"/>
      <c r="OPL22" s="1773"/>
      <c r="OPM22" s="1773"/>
      <c r="OPN22" s="1773"/>
      <c r="OPO22" s="1773"/>
      <c r="OPP22" s="1773"/>
      <c r="OPQ22" s="1773"/>
      <c r="OPR22" s="1773"/>
      <c r="OPS22" s="1773"/>
      <c r="OPT22" s="1773"/>
      <c r="OPU22" s="1773"/>
      <c r="OPV22" s="1773"/>
      <c r="OPW22" s="1773"/>
      <c r="OPX22" s="1773"/>
      <c r="OPY22" s="1773"/>
      <c r="OPZ22" s="1773"/>
      <c r="OQA22" s="1773"/>
      <c r="OQB22" s="1773"/>
      <c r="OQC22" s="1773"/>
      <c r="OQD22" s="1773"/>
      <c r="OQE22" s="1773"/>
      <c r="OQF22" s="1773"/>
      <c r="OQG22" s="1773"/>
      <c r="OQH22" s="1773"/>
      <c r="OQI22" s="1773"/>
      <c r="OQJ22" s="1773"/>
      <c r="OQK22" s="1773"/>
      <c r="OQL22" s="1773"/>
      <c r="OQM22" s="1773"/>
      <c r="OQN22" s="1773"/>
      <c r="OQO22" s="1773"/>
      <c r="OQP22" s="1773"/>
      <c r="OQQ22" s="1773"/>
      <c r="OQR22" s="1773"/>
      <c r="OQS22" s="1773"/>
      <c r="OQT22" s="1773"/>
      <c r="OQU22" s="1773"/>
      <c r="OQV22" s="1773"/>
      <c r="OQW22" s="1773"/>
      <c r="OQX22" s="1773"/>
      <c r="OQY22" s="1773"/>
      <c r="OQZ22" s="1773"/>
      <c r="ORA22" s="1773"/>
      <c r="ORB22" s="1773"/>
      <c r="ORC22" s="1773"/>
      <c r="ORD22" s="1773"/>
      <c r="ORE22" s="1773"/>
      <c r="ORF22" s="1773"/>
      <c r="ORG22" s="1773"/>
      <c r="ORH22" s="1773"/>
      <c r="ORI22" s="1773"/>
      <c r="ORJ22" s="1773"/>
      <c r="ORK22" s="1773"/>
      <c r="ORL22" s="1773"/>
      <c r="ORM22" s="1773"/>
      <c r="ORN22" s="1773"/>
      <c r="ORO22" s="1773"/>
      <c r="ORP22" s="1773"/>
      <c r="ORQ22" s="1773"/>
      <c r="ORR22" s="1773"/>
      <c r="ORS22" s="1773"/>
      <c r="ORT22" s="1773"/>
      <c r="ORU22" s="1773"/>
      <c r="ORV22" s="1773"/>
      <c r="ORW22" s="1773"/>
      <c r="ORX22" s="1773"/>
      <c r="ORY22" s="1773"/>
      <c r="ORZ22" s="1773"/>
      <c r="OSA22" s="1773"/>
      <c r="OSB22" s="1773"/>
      <c r="OSC22" s="1773"/>
      <c r="OSD22" s="1773"/>
      <c r="OSE22" s="1773"/>
      <c r="OSF22" s="1773"/>
      <c r="OSG22" s="1773"/>
      <c r="OSH22" s="1773"/>
      <c r="OSI22" s="1773"/>
      <c r="OSJ22" s="1773"/>
      <c r="OSK22" s="1773"/>
      <c r="OSL22" s="1773"/>
      <c r="OSM22" s="1773"/>
      <c r="OSN22" s="1773"/>
      <c r="OSO22" s="1773"/>
      <c r="OSP22" s="1773"/>
      <c r="OSQ22" s="1773"/>
      <c r="OSR22" s="1773"/>
      <c r="OSS22" s="1773"/>
      <c r="OST22" s="1773"/>
      <c r="OSU22" s="1773"/>
      <c r="OSV22" s="1773"/>
      <c r="OSW22" s="1773"/>
      <c r="OSX22" s="1773"/>
      <c r="OSY22" s="1773"/>
      <c r="OSZ22" s="1773"/>
      <c r="OTA22" s="1773"/>
      <c r="OTB22" s="1773"/>
      <c r="OTC22" s="1773"/>
      <c r="OTD22" s="1773"/>
      <c r="OTE22" s="1773"/>
      <c r="OTF22" s="1773"/>
      <c r="OTG22" s="1773"/>
      <c r="OTH22" s="1773"/>
      <c r="OTI22" s="1773"/>
      <c r="OTJ22" s="1773"/>
      <c r="OTK22" s="1773"/>
      <c r="OTL22" s="1773"/>
      <c r="OTM22" s="1773"/>
      <c r="OTN22" s="1773"/>
      <c r="OTO22" s="1773"/>
      <c r="OTP22" s="1773"/>
      <c r="OTQ22" s="1773"/>
      <c r="OTR22" s="1773"/>
      <c r="OTS22" s="1773"/>
      <c r="OTT22" s="1773"/>
      <c r="OTU22" s="1773"/>
      <c r="OTV22" s="1773"/>
      <c r="OTW22" s="1773"/>
      <c r="OTX22" s="1773"/>
      <c r="OTY22" s="1773"/>
      <c r="OTZ22" s="1773"/>
      <c r="OUA22" s="1773"/>
      <c r="OUB22" s="1773"/>
      <c r="OUC22" s="1773"/>
      <c r="OUD22" s="1773"/>
      <c r="OUE22" s="1773"/>
      <c r="OUF22" s="1773"/>
      <c r="OUG22" s="1773"/>
      <c r="OUH22" s="1773"/>
      <c r="OUI22" s="1773"/>
      <c r="OUJ22" s="1773"/>
      <c r="OUK22" s="1773"/>
      <c r="OUL22" s="1773"/>
      <c r="OUM22" s="1773"/>
      <c r="OUN22" s="1773"/>
      <c r="OUO22" s="1773"/>
      <c r="OUP22" s="1773"/>
      <c r="OUQ22" s="1773"/>
      <c r="OUR22" s="1773"/>
      <c r="OUS22" s="1773"/>
      <c r="OUT22" s="1773"/>
      <c r="OUU22" s="1773"/>
      <c r="OUV22" s="1773"/>
      <c r="OUW22" s="1773"/>
      <c r="OUX22" s="1773"/>
      <c r="OUY22" s="1773"/>
      <c r="OUZ22" s="1773"/>
      <c r="OVA22" s="1773"/>
      <c r="OVB22" s="1773"/>
      <c r="OVC22" s="1773"/>
      <c r="OVD22" s="1773"/>
      <c r="OVE22" s="1773"/>
      <c r="OVF22" s="1773"/>
      <c r="OVG22" s="1773"/>
      <c r="OVH22" s="1773"/>
      <c r="OVI22" s="1773"/>
      <c r="OVJ22" s="1773"/>
      <c r="OVK22" s="1773"/>
      <c r="OVL22" s="1773"/>
      <c r="OVM22" s="1773"/>
      <c r="OVN22" s="1773"/>
      <c r="OVO22" s="1773"/>
      <c r="OVP22" s="1773"/>
      <c r="OVQ22" s="1773"/>
      <c r="OVR22" s="1773"/>
      <c r="OVS22" s="1773"/>
      <c r="OVT22" s="1773"/>
      <c r="OVU22" s="1773"/>
      <c r="OVV22" s="1773"/>
      <c r="OVW22" s="1773"/>
      <c r="OVX22" s="1773"/>
      <c r="OVY22" s="1773"/>
      <c r="OVZ22" s="1773"/>
      <c r="OWA22" s="1773"/>
      <c r="OWB22" s="1773"/>
      <c r="OWC22" s="1773"/>
      <c r="OWD22" s="1773"/>
      <c r="OWE22" s="1773"/>
      <c r="OWF22" s="1773"/>
      <c r="OWG22" s="1773"/>
      <c r="OWH22" s="1773"/>
      <c r="OWI22" s="1773"/>
      <c r="OWJ22" s="1773"/>
      <c r="OWK22" s="1773"/>
      <c r="OWL22" s="1773"/>
      <c r="OWM22" s="1773"/>
      <c r="OWN22" s="1773"/>
      <c r="OWO22" s="1773"/>
      <c r="OWP22" s="1773"/>
      <c r="OWQ22" s="1773"/>
      <c r="OWR22" s="1773"/>
      <c r="OWS22" s="1773"/>
      <c r="OWT22" s="1773"/>
      <c r="OWU22" s="1773"/>
      <c r="OWV22" s="1773"/>
      <c r="OWW22" s="1773"/>
      <c r="OWX22" s="1773"/>
      <c r="OWY22" s="1773"/>
      <c r="OWZ22" s="1773"/>
      <c r="OXA22" s="1773"/>
      <c r="OXB22" s="1773"/>
      <c r="OXC22" s="1773"/>
      <c r="OXD22" s="1773"/>
      <c r="OXE22" s="1773"/>
      <c r="OXF22" s="1773"/>
      <c r="OXG22" s="1773"/>
      <c r="OXH22" s="1773"/>
      <c r="OXI22" s="1773"/>
      <c r="OXJ22" s="1773"/>
      <c r="OXK22" s="1773"/>
      <c r="OXL22" s="1773"/>
      <c r="OXM22" s="1773"/>
      <c r="OXN22" s="1773"/>
      <c r="OXO22" s="1773"/>
      <c r="OXP22" s="1773"/>
      <c r="OXQ22" s="1773"/>
      <c r="OXR22" s="1773"/>
      <c r="OXS22" s="1773"/>
      <c r="OXT22" s="1773"/>
      <c r="OXU22" s="1773"/>
      <c r="OXV22" s="1773"/>
      <c r="OXW22" s="1773"/>
      <c r="OXX22" s="1773"/>
      <c r="OXY22" s="1773"/>
      <c r="OXZ22" s="1773"/>
      <c r="OYA22" s="1773"/>
      <c r="OYB22" s="1773"/>
      <c r="OYC22" s="1773"/>
      <c r="OYD22" s="1773"/>
      <c r="OYE22" s="1773"/>
      <c r="OYF22" s="1773"/>
      <c r="OYG22" s="1773"/>
      <c r="OYH22" s="1773"/>
      <c r="OYI22" s="1773"/>
      <c r="OYJ22" s="1773"/>
      <c r="OYK22" s="1773"/>
      <c r="OYL22" s="1773"/>
      <c r="OYM22" s="1773"/>
      <c r="OYN22" s="1773"/>
      <c r="OYO22" s="1773"/>
      <c r="OYP22" s="1773"/>
      <c r="OYQ22" s="1773"/>
      <c r="OYR22" s="1773"/>
      <c r="OYS22" s="1773"/>
      <c r="OYT22" s="1773"/>
      <c r="OYU22" s="1773"/>
      <c r="OYV22" s="1773"/>
      <c r="OYW22" s="1773"/>
      <c r="OYX22" s="1773"/>
      <c r="OYY22" s="1773"/>
      <c r="OYZ22" s="1773"/>
      <c r="OZA22" s="1773"/>
      <c r="OZB22" s="1773"/>
      <c r="OZC22" s="1773"/>
      <c r="OZD22" s="1773"/>
      <c r="OZE22" s="1773"/>
      <c r="OZF22" s="1773"/>
      <c r="OZG22" s="1773"/>
      <c r="OZH22" s="1773"/>
      <c r="OZI22" s="1773"/>
      <c r="OZJ22" s="1773"/>
      <c r="OZK22" s="1773"/>
      <c r="OZL22" s="1773"/>
      <c r="OZM22" s="1773"/>
      <c r="OZN22" s="1773"/>
      <c r="OZO22" s="1773"/>
      <c r="OZP22" s="1773"/>
      <c r="OZQ22" s="1773"/>
      <c r="OZR22" s="1773"/>
      <c r="OZS22" s="1773"/>
      <c r="OZT22" s="1773"/>
      <c r="OZU22" s="1773"/>
      <c r="OZV22" s="1773"/>
      <c r="OZW22" s="1773"/>
      <c r="OZX22" s="1773"/>
      <c r="OZY22" s="1773"/>
      <c r="OZZ22" s="1773"/>
      <c r="PAA22" s="1773"/>
      <c r="PAB22" s="1773"/>
      <c r="PAC22" s="1773"/>
      <c r="PAD22" s="1773"/>
      <c r="PAE22" s="1773"/>
      <c r="PAF22" s="1773"/>
      <c r="PAG22" s="1773"/>
      <c r="PAH22" s="1773"/>
      <c r="PAI22" s="1773"/>
      <c r="PAJ22" s="1773"/>
      <c r="PAK22" s="1773"/>
      <c r="PAL22" s="1773"/>
      <c r="PAM22" s="1773"/>
      <c r="PAN22" s="1773"/>
      <c r="PAO22" s="1773"/>
      <c r="PAP22" s="1773"/>
      <c r="PAQ22" s="1773"/>
      <c r="PAR22" s="1773"/>
      <c r="PAS22" s="1773"/>
      <c r="PAT22" s="1773"/>
      <c r="PAU22" s="1773"/>
      <c r="PAV22" s="1773"/>
      <c r="PAW22" s="1773"/>
      <c r="PAX22" s="1773"/>
      <c r="PAY22" s="1773"/>
      <c r="PAZ22" s="1773"/>
      <c r="PBA22" s="1773"/>
      <c r="PBB22" s="1773"/>
      <c r="PBC22" s="1773"/>
      <c r="PBD22" s="1773"/>
      <c r="PBE22" s="1773"/>
      <c r="PBF22" s="1773"/>
      <c r="PBG22" s="1773"/>
      <c r="PBH22" s="1773"/>
      <c r="PBI22" s="1773"/>
      <c r="PBJ22" s="1773"/>
      <c r="PBK22" s="1773"/>
      <c r="PBL22" s="1773"/>
      <c r="PBM22" s="1773"/>
      <c r="PBN22" s="1773"/>
      <c r="PBO22" s="1773"/>
      <c r="PBP22" s="1773"/>
      <c r="PBQ22" s="1773"/>
      <c r="PBR22" s="1773"/>
      <c r="PBS22" s="1773"/>
      <c r="PBT22" s="1773"/>
      <c r="PBU22" s="1773"/>
      <c r="PBV22" s="1773"/>
      <c r="PBW22" s="1773"/>
      <c r="PBX22" s="1773"/>
      <c r="PBY22" s="1773"/>
      <c r="PBZ22" s="1773"/>
      <c r="PCA22" s="1773"/>
      <c r="PCB22" s="1773"/>
      <c r="PCC22" s="1773"/>
      <c r="PCD22" s="1773"/>
      <c r="PCE22" s="1773"/>
      <c r="PCF22" s="1773"/>
      <c r="PCG22" s="1773"/>
      <c r="PCH22" s="1773"/>
      <c r="PCI22" s="1773"/>
      <c r="PCJ22" s="1773"/>
      <c r="PCK22" s="1773"/>
      <c r="PCL22" s="1773"/>
      <c r="PCM22" s="1773"/>
      <c r="PCN22" s="1773"/>
      <c r="PCO22" s="1773"/>
      <c r="PCP22" s="1773"/>
      <c r="PCQ22" s="1773"/>
      <c r="PCR22" s="1773"/>
      <c r="PCS22" s="1773"/>
      <c r="PCT22" s="1773"/>
      <c r="PCU22" s="1773"/>
      <c r="PCV22" s="1773"/>
      <c r="PCW22" s="1773"/>
      <c r="PCX22" s="1773"/>
      <c r="PCY22" s="1773"/>
      <c r="PCZ22" s="1773"/>
      <c r="PDA22" s="1773"/>
      <c r="PDB22" s="1773"/>
      <c r="PDC22" s="1773"/>
      <c r="PDD22" s="1773"/>
      <c r="PDE22" s="1773"/>
      <c r="PDF22" s="1773"/>
      <c r="PDG22" s="1773"/>
      <c r="PDH22" s="1773"/>
      <c r="PDI22" s="1773"/>
      <c r="PDJ22" s="1773"/>
      <c r="PDK22" s="1773"/>
      <c r="PDL22" s="1773"/>
      <c r="PDM22" s="1773"/>
      <c r="PDN22" s="1773"/>
      <c r="PDO22" s="1773"/>
      <c r="PDP22" s="1773"/>
      <c r="PDQ22" s="1773"/>
      <c r="PDR22" s="1773"/>
      <c r="PDS22" s="1773"/>
      <c r="PDT22" s="1773"/>
      <c r="PDU22" s="1773"/>
      <c r="PDV22" s="1773"/>
      <c r="PDW22" s="1773"/>
      <c r="PDX22" s="1773"/>
      <c r="PDY22" s="1773"/>
      <c r="PDZ22" s="1773"/>
      <c r="PEA22" s="1773"/>
      <c r="PEB22" s="1773"/>
      <c r="PEC22" s="1773"/>
      <c r="PED22" s="1773"/>
      <c r="PEE22" s="1773"/>
      <c r="PEF22" s="1773"/>
      <c r="PEG22" s="1773"/>
      <c r="PEH22" s="1773"/>
      <c r="PEI22" s="1773"/>
      <c r="PEJ22" s="1773"/>
      <c r="PEK22" s="1773"/>
      <c r="PEL22" s="1773"/>
      <c r="PEM22" s="1773"/>
      <c r="PEN22" s="1773"/>
      <c r="PEO22" s="1773"/>
      <c r="PEP22" s="1773"/>
      <c r="PEQ22" s="1773"/>
      <c r="PER22" s="1773"/>
      <c r="PES22" s="1773"/>
      <c r="PET22" s="1773"/>
      <c r="PEU22" s="1773"/>
      <c r="PEV22" s="1773"/>
      <c r="PEW22" s="1773"/>
      <c r="PEX22" s="1773"/>
      <c r="PEY22" s="1773"/>
      <c r="PEZ22" s="1773"/>
      <c r="PFA22" s="1773"/>
      <c r="PFB22" s="1773"/>
      <c r="PFC22" s="1773"/>
      <c r="PFD22" s="1773"/>
      <c r="PFE22" s="1773"/>
      <c r="PFF22" s="1773"/>
      <c r="PFG22" s="1773"/>
      <c r="PFH22" s="1773"/>
      <c r="PFI22" s="1773"/>
      <c r="PFJ22" s="1773"/>
      <c r="PFK22" s="1773"/>
      <c r="PFL22" s="1773"/>
      <c r="PFM22" s="1773"/>
      <c r="PFN22" s="1773"/>
      <c r="PFO22" s="1773"/>
      <c r="PFP22" s="1773"/>
      <c r="PFQ22" s="1773"/>
      <c r="PFR22" s="1773"/>
      <c r="PFS22" s="1773"/>
      <c r="PFT22" s="1773"/>
      <c r="PFU22" s="1773"/>
      <c r="PFV22" s="1773"/>
      <c r="PFW22" s="1773"/>
      <c r="PFX22" s="1773"/>
      <c r="PFY22" s="1773"/>
      <c r="PFZ22" s="1773"/>
      <c r="PGA22" s="1773"/>
      <c r="PGB22" s="1773"/>
      <c r="PGC22" s="1773"/>
      <c r="PGD22" s="1773"/>
      <c r="PGE22" s="1773"/>
      <c r="PGF22" s="1773"/>
      <c r="PGG22" s="1773"/>
      <c r="PGH22" s="1773"/>
      <c r="PGI22" s="1773"/>
      <c r="PGJ22" s="1773"/>
      <c r="PGK22" s="1773"/>
      <c r="PGL22" s="1773"/>
      <c r="PGM22" s="1773"/>
      <c r="PGN22" s="1773"/>
      <c r="PGO22" s="1773"/>
      <c r="PGP22" s="1773"/>
      <c r="PGQ22" s="1773"/>
      <c r="PGR22" s="1773"/>
      <c r="PGS22" s="1773"/>
      <c r="PGT22" s="1773"/>
      <c r="PGU22" s="1773"/>
      <c r="PGV22" s="1773"/>
      <c r="PGW22" s="1773"/>
      <c r="PGX22" s="1773"/>
      <c r="PGY22" s="1773"/>
      <c r="PGZ22" s="1773"/>
      <c r="PHA22" s="1773"/>
      <c r="PHB22" s="1773"/>
      <c r="PHC22" s="1773"/>
      <c r="PHD22" s="1773"/>
      <c r="PHE22" s="1773"/>
      <c r="PHF22" s="1773"/>
      <c r="PHG22" s="1773"/>
      <c r="PHH22" s="1773"/>
      <c r="PHI22" s="1773"/>
      <c r="PHJ22" s="1773"/>
      <c r="PHK22" s="1773"/>
      <c r="PHL22" s="1773"/>
      <c r="PHM22" s="1773"/>
      <c r="PHN22" s="1773"/>
      <c r="PHO22" s="1773"/>
      <c r="PHP22" s="1773"/>
      <c r="PHQ22" s="1773"/>
      <c r="PHR22" s="1773"/>
      <c r="PHS22" s="1773"/>
      <c r="PHT22" s="1773"/>
      <c r="PHU22" s="1773"/>
      <c r="PHV22" s="1773"/>
      <c r="PHW22" s="1773"/>
      <c r="PHX22" s="1773"/>
      <c r="PHY22" s="1773"/>
      <c r="PHZ22" s="1773"/>
      <c r="PIA22" s="1773"/>
      <c r="PIB22" s="1773"/>
      <c r="PIC22" s="1773"/>
      <c r="PID22" s="1773"/>
      <c r="PIE22" s="1773"/>
      <c r="PIF22" s="1773"/>
      <c r="PIG22" s="1773"/>
      <c r="PIH22" s="1773"/>
      <c r="PII22" s="1773"/>
      <c r="PIJ22" s="1773"/>
      <c r="PIK22" s="1773"/>
      <c r="PIL22" s="1773"/>
      <c r="PIM22" s="1773"/>
      <c r="PIN22" s="1773"/>
      <c r="PIO22" s="1773"/>
      <c r="PIP22" s="1773"/>
      <c r="PIQ22" s="1773"/>
      <c r="PIR22" s="1773"/>
      <c r="PIS22" s="1773"/>
      <c r="PIT22" s="1773"/>
      <c r="PIU22" s="1773"/>
      <c r="PIV22" s="1773"/>
      <c r="PIW22" s="1773"/>
      <c r="PIX22" s="1773"/>
      <c r="PIY22" s="1773"/>
      <c r="PIZ22" s="1773"/>
      <c r="PJA22" s="1773"/>
      <c r="PJB22" s="1773"/>
      <c r="PJC22" s="1773"/>
      <c r="PJD22" s="1773"/>
      <c r="PJE22" s="1773"/>
      <c r="PJF22" s="1773"/>
      <c r="PJG22" s="1773"/>
      <c r="PJH22" s="1773"/>
      <c r="PJI22" s="1773"/>
      <c r="PJJ22" s="1773"/>
      <c r="PJK22" s="1773"/>
      <c r="PJL22" s="1773"/>
      <c r="PJM22" s="1773"/>
      <c r="PJN22" s="1773"/>
      <c r="PJO22" s="1773"/>
      <c r="PJP22" s="1773"/>
      <c r="PJQ22" s="1773"/>
      <c r="PJR22" s="1773"/>
      <c r="PJS22" s="1773"/>
      <c r="PJT22" s="1773"/>
      <c r="PJU22" s="1773"/>
      <c r="PJV22" s="1773"/>
      <c r="PJW22" s="1773"/>
      <c r="PJX22" s="1773"/>
      <c r="PJY22" s="1773"/>
      <c r="PJZ22" s="1773"/>
      <c r="PKA22" s="1773"/>
      <c r="PKB22" s="1773"/>
      <c r="PKC22" s="1773"/>
      <c r="PKD22" s="1773"/>
      <c r="PKE22" s="1773"/>
      <c r="PKF22" s="1773"/>
      <c r="PKG22" s="1773"/>
      <c r="PKH22" s="1773"/>
      <c r="PKI22" s="1773"/>
      <c r="PKJ22" s="1773"/>
      <c r="PKK22" s="1773"/>
      <c r="PKL22" s="1773"/>
      <c r="PKM22" s="1773"/>
      <c r="PKN22" s="1773"/>
      <c r="PKO22" s="1773"/>
      <c r="PKP22" s="1773"/>
      <c r="PKQ22" s="1773"/>
      <c r="PKR22" s="1773"/>
      <c r="PKS22" s="1773"/>
      <c r="PKT22" s="1773"/>
      <c r="PKU22" s="1773"/>
      <c r="PKV22" s="1773"/>
      <c r="PKW22" s="1773"/>
      <c r="PKX22" s="1773"/>
      <c r="PKY22" s="1773"/>
      <c r="PKZ22" s="1773"/>
      <c r="PLA22" s="1773"/>
      <c r="PLB22" s="1773"/>
      <c r="PLC22" s="1773"/>
      <c r="PLD22" s="1773"/>
      <c r="PLE22" s="1773"/>
      <c r="PLF22" s="1773"/>
      <c r="PLG22" s="1773"/>
      <c r="PLH22" s="1773"/>
      <c r="PLI22" s="1773"/>
      <c r="PLJ22" s="1773"/>
      <c r="PLK22" s="1773"/>
      <c r="PLL22" s="1773"/>
      <c r="PLM22" s="1773"/>
      <c r="PLN22" s="1773"/>
      <c r="PLO22" s="1773"/>
      <c r="PLP22" s="1773"/>
      <c r="PLQ22" s="1773"/>
      <c r="PLR22" s="1773"/>
      <c r="PLS22" s="1773"/>
      <c r="PLT22" s="1773"/>
      <c r="PLU22" s="1773"/>
      <c r="PLV22" s="1773"/>
      <c r="PLW22" s="1773"/>
      <c r="PLX22" s="1773"/>
      <c r="PLY22" s="1773"/>
      <c r="PLZ22" s="1773"/>
      <c r="PMA22" s="1773"/>
      <c r="PMB22" s="1773"/>
      <c r="PMC22" s="1773"/>
      <c r="PMD22" s="1773"/>
      <c r="PME22" s="1773"/>
      <c r="PMF22" s="1773"/>
      <c r="PMG22" s="1773"/>
      <c r="PMH22" s="1773"/>
      <c r="PMI22" s="1773"/>
      <c r="PMJ22" s="1773"/>
      <c r="PMK22" s="1773"/>
      <c r="PML22" s="1773"/>
      <c r="PMM22" s="1773"/>
      <c r="PMN22" s="1773"/>
      <c r="PMO22" s="1773"/>
      <c r="PMP22" s="1773"/>
      <c r="PMQ22" s="1773"/>
      <c r="PMR22" s="1773"/>
      <c r="PMS22" s="1773"/>
      <c r="PMT22" s="1773"/>
      <c r="PMU22" s="1773"/>
      <c r="PMV22" s="1773"/>
      <c r="PMW22" s="1773"/>
      <c r="PMX22" s="1773"/>
      <c r="PMY22" s="1773"/>
      <c r="PMZ22" s="1773"/>
      <c r="PNA22" s="1773"/>
      <c r="PNB22" s="1773"/>
      <c r="PNC22" s="1773"/>
      <c r="PND22" s="1773"/>
      <c r="PNE22" s="1773"/>
      <c r="PNF22" s="1773"/>
      <c r="PNG22" s="1773"/>
      <c r="PNH22" s="1773"/>
      <c r="PNI22" s="1773"/>
      <c r="PNJ22" s="1773"/>
      <c r="PNK22" s="1773"/>
      <c r="PNL22" s="1773"/>
      <c r="PNM22" s="1773"/>
      <c r="PNN22" s="1773"/>
      <c r="PNO22" s="1773"/>
      <c r="PNP22" s="1773"/>
      <c r="PNQ22" s="1773"/>
      <c r="PNR22" s="1773"/>
      <c r="PNS22" s="1773"/>
      <c r="PNT22" s="1773"/>
      <c r="PNU22" s="1773"/>
      <c r="PNV22" s="1773"/>
      <c r="PNW22" s="1773"/>
      <c r="PNX22" s="1773"/>
      <c r="PNY22" s="1773"/>
      <c r="PNZ22" s="1773"/>
      <c r="POA22" s="1773"/>
      <c r="POB22" s="1773"/>
      <c r="POC22" s="1773"/>
      <c r="POD22" s="1773"/>
      <c r="POE22" s="1773"/>
      <c r="POF22" s="1773"/>
      <c r="POG22" s="1773"/>
      <c r="POH22" s="1773"/>
      <c r="POI22" s="1773"/>
      <c r="POJ22" s="1773"/>
      <c r="POK22" s="1773"/>
      <c r="POL22" s="1773"/>
      <c r="POM22" s="1773"/>
      <c r="PON22" s="1773"/>
      <c r="POO22" s="1773"/>
      <c r="POP22" s="1773"/>
      <c r="POQ22" s="1773"/>
      <c r="POR22" s="1773"/>
      <c r="POS22" s="1773"/>
      <c r="POT22" s="1773"/>
      <c r="POU22" s="1773"/>
      <c r="POV22" s="1773"/>
      <c r="POW22" s="1773"/>
      <c r="POX22" s="1773"/>
      <c r="POY22" s="1773"/>
      <c r="POZ22" s="1773"/>
      <c r="PPA22" s="1773"/>
      <c r="PPB22" s="1773"/>
      <c r="PPC22" s="1773"/>
      <c r="PPD22" s="1773"/>
      <c r="PPE22" s="1773"/>
      <c r="PPF22" s="1773"/>
      <c r="PPG22" s="1773"/>
      <c r="PPH22" s="1773"/>
      <c r="PPI22" s="1773"/>
      <c r="PPJ22" s="1773"/>
      <c r="PPK22" s="1773"/>
      <c r="PPL22" s="1773"/>
      <c r="PPM22" s="1773"/>
      <c r="PPN22" s="1773"/>
      <c r="PPO22" s="1773"/>
      <c r="PPP22" s="1773"/>
      <c r="PPQ22" s="1773"/>
      <c r="PPR22" s="1773"/>
      <c r="PPS22" s="1773"/>
      <c r="PPT22" s="1773"/>
      <c r="PPU22" s="1773"/>
      <c r="PPV22" s="1773"/>
      <c r="PPW22" s="1773"/>
      <c r="PPX22" s="1773"/>
      <c r="PPY22" s="1773"/>
      <c r="PPZ22" s="1773"/>
      <c r="PQA22" s="1773"/>
      <c r="PQB22" s="1773"/>
      <c r="PQC22" s="1773"/>
      <c r="PQD22" s="1773"/>
      <c r="PQE22" s="1773"/>
      <c r="PQF22" s="1773"/>
      <c r="PQG22" s="1773"/>
      <c r="PQH22" s="1773"/>
      <c r="PQI22" s="1773"/>
      <c r="PQJ22" s="1773"/>
      <c r="PQK22" s="1773"/>
      <c r="PQL22" s="1773"/>
      <c r="PQM22" s="1773"/>
      <c r="PQN22" s="1773"/>
      <c r="PQO22" s="1773"/>
      <c r="PQP22" s="1773"/>
      <c r="PQQ22" s="1773"/>
      <c r="PQR22" s="1773"/>
      <c r="PQS22" s="1773"/>
      <c r="PQT22" s="1773"/>
      <c r="PQU22" s="1773"/>
      <c r="PQV22" s="1773"/>
      <c r="PQW22" s="1773"/>
      <c r="PQX22" s="1773"/>
      <c r="PQY22" s="1773"/>
      <c r="PQZ22" s="1773"/>
      <c r="PRA22" s="1773"/>
      <c r="PRB22" s="1773"/>
      <c r="PRC22" s="1773"/>
      <c r="PRD22" s="1773"/>
      <c r="PRE22" s="1773"/>
      <c r="PRF22" s="1773"/>
      <c r="PRG22" s="1773"/>
      <c r="PRH22" s="1773"/>
      <c r="PRI22" s="1773"/>
      <c r="PRJ22" s="1773"/>
      <c r="PRK22" s="1773"/>
      <c r="PRL22" s="1773"/>
      <c r="PRM22" s="1773"/>
      <c r="PRN22" s="1773"/>
      <c r="PRO22" s="1773"/>
      <c r="PRP22" s="1773"/>
      <c r="PRQ22" s="1773"/>
      <c r="PRR22" s="1773"/>
      <c r="PRS22" s="1773"/>
      <c r="PRT22" s="1773"/>
      <c r="PRU22" s="1773"/>
      <c r="PRV22" s="1773"/>
      <c r="PRW22" s="1773"/>
      <c r="PRX22" s="1773"/>
      <c r="PRY22" s="1773"/>
      <c r="PRZ22" s="1773"/>
      <c r="PSA22" s="1773"/>
      <c r="PSB22" s="1773"/>
      <c r="PSC22" s="1773"/>
      <c r="PSD22" s="1773"/>
      <c r="PSE22" s="1773"/>
      <c r="PSF22" s="1773"/>
      <c r="PSG22" s="1773"/>
      <c r="PSH22" s="1773"/>
      <c r="PSI22" s="1773"/>
      <c r="PSJ22" s="1773"/>
      <c r="PSK22" s="1773"/>
      <c r="PSL22" s="1773"/>
      <c r="PSM22" s="1773"/>
      <c r="PSN22" s="1773"/>
      <c r="PSO22" s="1773"/>
      <c r="PSP22" s="1773"/>
      <c r="PSQ22" s="1773"/>
      <c r="PSR22" s="1773"/>
      <c r="PSS22" s="1773"/>
      <c r="PST22" s="1773"/>
      <c r="PSU22" s="1773"/>
      <c r="PSV22" s="1773"/>
      <c r="PSW22" s="1773"/>
      <c r="PSX22" s="1773"/>
      <c r="PSY22" s="1773"/>
      <c r="PSZ22" s="1773"/>
      <c r="PTA22" s="1773"/>
      <c r="PTB22" s="1773"/>
      <c r="PTC22" s="1773"/>
      <c r="PTD22" s="1773"/>
      <c r="PTE22" s="1773"/>
      <c r="PTF22" s="1773"/>
      <c r="PTG22" s="1773"/>
      <c r="PTH22" s="1773"/>
      <c r="PTI22" s="1773"/>
      <c r="PTJ22" s="1773"/>
      <c r="PTK22" s="1773"/>
      <c r="PTL22" s="1773"/>
      <c r="PTM22" s="1773"/>
      <c r="PTN22" s="1773"/>
      <c r="PTO22" s="1773"/>
      <c r="PTP22" s="1773"/>
      <c r="PTQ22" s="1773"/>
      <c r="PTR22" s="1773"/>
      <c r="PTS22" s="1773"/>
      <c r="PTT22" s="1773"/>
      <c r="PTU22" s="1773"/>
      <c r="PTV22" s="1773"/>
      <c r="PTW22" s="1773"/>
      <c r="PTX22" s="1773"/>
      <c r="PTY22" s="1773"/>
      <c r="PTZ22" s="1773"/>
      <c r="PUA22" s="1773"/>
      <c r="PUB22" s="1773"/>
      <c r="PUC22" s="1773"/>
      <c r="PUD22" s="1773"/>
      <c r="PUE22" s="1773"/>
      <c r="PUF22" s="1773"/>
      <c r="PUG22" s="1773"/>
      <c r="PUH22" s="1773"/>
      <c r="PUI22" s="1773"/>
      <c r="PUJ22" s="1773"/>
      <c r="PUK22" s="1773"/>
      <c r="PUL22" s="1773"/>
      <c r="PUM22" s="1773"/>
      <c r="PUN22" s="1773"/>
      <c r="PUO22" s="1773"/>
      <c r="PUP22" s="1773"/>
      <c r="PUQ22" s="1773"/>
      <c r="PUR22" s="1773"/>
      <c r="PUS22" s="1773"/>
      <c r="PUT22" s="1773"/>
      <c r="PUU22" s="1773"/>
      <c r="PUV22" s="1773"/>
      <c r="PUW22" s="1773"/>
      <c r="PUX22" s="1773"/>
      <c r="PUY22" s="1773"/>
      <c r="PUZ22" s="1773"/>
      <c r="PVA22" s="1773"/>
      <c r="PVB22" s="1773"/>
      <c r="PVC22" s="1773"/>
      <c r="PVD22" s="1773"/>
      <c r="PVE22" s="1773"/>
      <c r="PVF22" s="1773"/>
      <c r="PVG22" s="1773"/>
      <c r="PVH22" s="1773"/>
      <c r="PVI22" s="1773"/>
      <c r="PVJ22" s="1773"/>
      <c r="PVK22" s="1773"/>
      <c r="PVL22" s="1773"/>
      <c r="PVM22" s="1773"/>
      <c r="PVN22" s="1773"/>
      <c r="PVO22" s="1773"/>
      <c r="PVP22" s="1773"/>
      <c r="PVQ22" s="1773"/>
      <c r="PVR22" s="1773"/>
      <c r="PVS22" s="1773"/>
      <c r="PVT22" s="1773"/>
      <c r="PVU22" s="1773"/>
      <c r="PVV22" s="1773"/>
      <c r="PVW22" s="1773"/>
      <c r="PVX22" s="1773"/>
      <c r="PVY22" s="1773"/>
      <c r="PVZ22" s="1773"/>
      <c r="PWA22" s="1773"/>
      <c r="PWB22" s="1773"/>
      <c r="PWC22" s="1773"/>
      <c r="PWD22" s="1773"/>
      <c r="PWE22" s="1773"/>
      <c r="PWF22" s="1773"/>
      <c r="PWG22" s="1773"/>
      <c r="PWH22" s="1773"/>
      <c r="PWI22" s="1773"/>
      <c r="PWJ22" s="1773"/>
      <c r="PWK22" s="1773"/>
      <c r="PWL22" s="1773"/>
      <c r="PWM22" s="1773"/>
      <c r="PWN22" s="1773"/>
      <c r="PWO22" s="1773"/>
      <c r="PWP22" s="1773"/>
      <c r="PWQ22" s="1773"/>
      <c r="PWR22" s="1773"/>
      <c r="PWS22" s="1773"/>
      <c r="PWT22" s="1773"/>
      <c r="PWU22" s="1773"/>
      <c r="PWV22" s="1773"/>
      <c r="PWW22" s="1773"/>
      <c r="PWX22" s="1773"/>
      <c r="PWY22" s="1773"/>
      <c r="PWZ22" s="1773"/>
      <c r="PXA22" s="1773"/>
      <c r="PXB22" s="1773"/>
      <c r="PXC22" s="1773"/>
      <c r="PXD22" s="1773"/>
      <c r="PXE22" s="1773"/>
      <c r="PXF22" s="1773"/>
      <c r="PXG22" s="1773"/>
      <c r="PXH22" s="1773"/>
      <c r="PXI22" s="1773"/>
      <c r="PXJ22" s="1773"/>
      <c r="PXK22" s="1773"/>
      <c r="PXL22" s="1773"/>
      <c r="PXM22" s="1773"/>
      <c r="PXN22" s="1773"/>
      <c r="PXO22" s="1773"/>
      <c r="PXP22" s="1773"/>
      <c r="PXQ22" s="1773"/>
      <c r="PXR22" s="1773"/>
      <c r="PXS22" s="1773"/>
      <c r="PXT22" s="1773"/>
      <c r="PXU22" s="1773"/>
      <c r="PXV22" s="1773"/>
      <c r="PXW22" s="1773"/>
      <c r="PXX22" s="1773"/>
      <c r="PXY22" s="1773"/>
      <c r="PXZ22" s="1773"/>
      <c r="PYA22" s="1773"/>
      <c r="PYB22" s="1773"/>
      <c r="PYC22" s="1773"/>
      <c r="PYD22" s="1773"/>
      <c r="PYE22" s="1773"/>
      <c r="PYF22" s="1773"/>
      <c r="PYG22" s="1773"/>
      <c r="PYH22" s="1773"/>
      <c r="PYI22" s="1773"/>
      <c r="PYJ22" s="1773"/>
      <c r="PYK22" s="1773"/>
      <c r="PYL22" s="1773"/>
      <c r="PYM22" s="1773"/>
      <c r="PYN22" s="1773"/>
      <c r="PYO22" s="1773"/>
      <c r="PYP22" s="1773"/>
      <c r="PYQ22" s="1773"/>
      <c r="PYR22" s="1773"/>
      <c r="PYS22" s="1773"/>
      <c r="PYT22" s="1773"/>
      <c r="PYU22" s="1773"/>
      <c r="PYV22" s="1773"/>
      <c r="PYW22" s="1773"/>
      <c r="PYX22" s="1773"/>
      <c r="PYY22" s="1773"/>
      <c r="PYZ22" s="1773"/>
      <c r="PZA22" s="1773"/>
      <c r="PZB22" s="1773"/>
      <c r="PZC22" s="1773"/>
      <c r="PZD22" s="1773"/>
      <c r="PZE22" s="1773"/>
      <c r="PZF22" s="1773"/>
      <c r="PZG22" s="1773"/>
      <c r="PZH22" s="1773"/>
      <c r="PZI22" s="1773"/>
      <c r="PZJ22" s="1773"/>
      <c r="PZK22" s="1773"/>
      <c r="PZL22" s="1773"/>
      <c r="PZM22" s="1773"/>
      <c r="PZN22" s="1773"/>
      <c r="PZO22" s="1773"/>
      <c r="PZP22" s="1773"/>
      <c r="PZQ22" s="1773"/>
      <c r="PZR22" s="1773"/>
      <c r="PZS22" s="1773"/>
      <c r="PZT22" s="1773"/>
      <c r="PZU22" s="1773"/>
      <c r="PZV22" s="1773"/>
      <c r="PZW22" s="1773"/>
      <c r="PZX22" s="1773"/>
      <c r="PZY22" s="1773"/>
      <c r="PZZ22" s="1773"/>
      <c r="QAA22" s="1773"/>
      <c r="QAB22" s="1773"/>
      <c r="QAC22" s="1773"/>
      <c r="QAD22" s="1773"/>
      <c r="QAE22" s="1773"/>
      <c r="QAF22" s="1773"/>
      <c r="QAG22" s="1773"/>
      <c r="QAH22" s="1773"/>
      <c r="QAI22" s="1773"/>
      <c r="QAJ22" s="1773"/>
      <c r="QAK22" s="1773"/>
      <c r="QAL22" s="1773"/>
      <c r="QAM22" s="1773"/>
      <c r="QAN22" s="1773"/>
      <c r="QAO22" s="1773"/>
      <c r="QAP22" s="1773"/>
      <c r="QAQ22" s="1773"/>
      <c r="QAR22" s="1773"/>
      <c r="QAS22" s="1773"/>
      <c r="QAT22" s="1773"/>
      <c r="QAU22" s="1773"/>
      <c r="QAV22" s="1773"/>
      <c r="QAW22" s="1773"/>
      <c r="QAX22" s="1773"/>
      <c r="QAY22" s="1773"/>
      <c r="QAZ22" s="1773"/>
      <c r="QBA22" s="1773"/>
      <c r="QBB22" s="1773"/>
      <c r="QBC22" s="1773"/>
      <c r="QBD22" s="1773"/>
      <c r="QBE22" s="1773"/>
      <c r="QBF22" s="1773"/>
      <c r="QBG22" s="1773"/>
      <c r="QBH22" s="1773"/>
      <c r="QBI22" s="1773"/>
      <c r="QBJ22" s="1773"/>
      <c r="QBK22" s="1773"/>
      <c r="QBL22" s="1773"/>
      <c r="QBM22" s="1773"/>
      <c r="QBN22" s="1773"/>
      <c r="QBO22" s="1773"/>
      <c r="QBP22" s="1773"/>
      <c r="QBQ22" s="1773"/>
      <c r="QBR22" s="1773"/>
      <c r="QBS22" s="1773"/>
      <c r="QBT22" s="1773"/>
      <c r="QBU22" s="1773"/>
      <c r="QBV22" s="1773"/>
      <c r="QBW22" s="1773"/>
      <c r="QBX22" s="1773"/>
      <c r="QBY22" s="1773"/>
      <c r="QBZ22" s="1773"/>
      <c r="QCA22" s="1773"/>
      <c r="QCB22" s="1773"/>
      <c r="QCC22" s="1773"/>
      <c r="QCD22" s="1773"/>
      <c r="QCE22" s="1773"/>
      <c r="QCF22" s="1773"/>
      <c r="QCG22" s="1773"/>
      <c r="QCH22" s="1773"/>
      <c r="QCI22" s="1773"/>
      <c r="QCJ22" s="1773"/>
      <c r="QCK22" s="1773"/>
      <c r="QCL22" s="1773"/>
      <c r="QCM22" s="1773"/>
      <c r="QCN22" s="1773"/>
      <c r="QCO22" s="1773"/>
      <c r="QCP22" s="1773"/>
      <c r="QCQ22" s="1773"/>
      <c r="QCR22" s="1773"/>
      <c r="QCS22" s="1773"/>
      <c r="QCT22" s="1773"/>
      <c r="QCU22" s="1773"/>
      <c r="QCV22" s="1773"/>
      <c r="QCW22" s="1773"/>
      <c r="QCX22" s="1773"/>
      <c r="QCY22" s="1773"/>
      <c r="QCZ22" s="1773"/>
      <c r="QDA22" s="1773"/>
      <c r="QDB22" s="1773"/>
      <c r="QDC22" s="1773"/>
      <c r="QDD22" s="1773"/>
      <c r="QDE22" s="1773"/>
      <c r="QDF22" s="1773"/>
      <c r="QDG22" s="1773"/>
      <c r="QDH22" s="1773"/>
      <c r="QDI22" s="1773"/>
      <c r="QDJ22" s="1773"/>
      <c r="QDK22" s="1773"/>
      <c r="QDL22" s="1773"/>
      <c r="QDM22" s="1773"/>
      <c r="QDN22" s="1773"/>
      <c r="QDO22" s="1773"/>
      <c r="QDP22" s="1773"/>
      <c r="QDQ22" s="1773"/>
      <c r="QDR22" s="1773"/>
      <c r="QDS22" s="1773"/>
      <c r="QDT22" s="1773"/>
      <c r="QDU22" s="1773"/>
      <c r="QDV22" s="1773"/>
      <c r="QDW22" s="1773"/>
      <c r="QDX22" s="1773"/>
      <c r="QDY22" s="1773"/>
      <c r="QDZ22" s="1773"/>
      <c r="QEA22" s="1773"/>
      <c r="QEB22" s="1773"/>
      <c r="QEC22" s="1773"/>
      <c r="QED22" s="1773"/>
      <c r="QEE22" s="1773"/>
      <c r="QEF22" s="1773"/>
      <c r="QEG22" s="1773"/>
      <c r="QEH22" s="1773"/>
      <c r="QEI22" s="1773"/>
      <c r="QEJ22" s="1773"/>
      <c r="QEK22" s="1773"/>
      <c r="QEL22" s="1773"/>
      <c r="QEM22" s="1773"/>
      <c r="QEN22" s="1773"/>
      <c r="QEO22" s="1773"/>
      <c r="QEP22" s="1773"/>
      <c r="QEQ22" s="1773"/>
      <c r="QER22" s="1773"/>
      <c r="QES22" s="1773"/>
      <c r="QET22" s="1773"/>
      <c r="QEU22" s="1773"/>
      <c r="QEV22" s="1773"/>
      <c r="QEW22" s="1773"/>
      <c r="QEX22" s="1773"/>
      <c r="QEY22" s="1773"/>
      <c r="QEZ22" s="1773"/>
      <c r="QFA22" s="1773"/>
      <c r="QFB22" s="1773"/>
      <c r="QFC22" s="1773"/>
      <c r="QFD22" s="1773"/>
      <c r="QFE22" s="1773"/>
      <c r="QFF22" s="1773"/>
      <c r="QFG22" s="1773"/>
      <c r="QFH22" s="1773"/>
      <c r="QFI22" s="1773"/>
      <c r="QFJ22" s="1773"/>
      <c r="QFK22" s="1773"/>
      <c r="QFL22" s="1773"/>
      <c r="QFM22" s="1773"/>
      <c r="QFN22" s="1773"/>
      <c r="QFO22" s="1773"/>
      <c r="QFP22" s="1773"/>
      <c r="QFQ22" s="1773"/>
      <c r="QFR22" s="1773"/>
      <c r="QFS22" s="1773"/>
      <c r="QFT22" s="1773"/>
      <c r="QFU22" s="1773"/>
      <c r="QFV22" s="1773"/>
      <c r="QFW22" s="1773"/>
      <c r="QFX22" s="1773"/>
      <c r="QFY22" s="1773"/>
      <c r="QFZ22" s="1773"/>
      <c r="QGA22" s="1773"/>
      <c r="QGB22" s="1773"/>
      <c r="QGC22" s="1773"/>
      <c r="QGD22" s="1773"/>
      <c r="QGE22" s="1773"/>
      <c r="QGF22" s="1773"/>
      <c r="QGG22" s="1773"/>
      <c r="QGH22" s="1773"/>
      <c r="QGI22" s="1773"/>
      <c r="QGJ22" s="1773"/>
      <c r="QGK22" s="1773"/>
      <c r="QGL22" s="1773"/>
      <c r="QGM22" s="1773"/>
      <c r="QGN22" s="1773"/>
      <c r="QGO22" s="1773"/>
      <c r="QGP22" s="1773"/>
      <c r="QGQ22" s="1773"/>
      <c r="QGR22" s="1773"/>
      <c r="QGS22" s="1773"/>
      <c r="QGT22" s="1773"/>
      <c r="QGU22" s="1773"/>
      <c r="QGV22" s="1773"/>
      <c r="QGW22" s="1773"/>
      <c r="QGX22" s="1773"/>
      <c r="QGY22" s="1773"/>
      <c r="QGZ22" s="1773"/>
      <c r="QHA22" s="1773"/>
      <c r="QHB22" s="1773"/>
      <c r="QHC22" s="1773"/>
      <c r="QHD22" s="1773"/>
      <c r="QHE22" s="1773"/>
      <c r="QHF22" s="1773"/>
      <c r="QHG22" s="1773"/>
      <c r="QHH22" s="1773"/>
      <c r="QHI22" s="1773"/>
      <c r="QHJ22" s="1773"/>
      <c r="QHK22" s="1773"/>
      <c r="QHL22" s="1773"/>
      <c r="QHM22" s="1773"/>
      <c r="QHN22" s="1773"/>
      <c r="QHO22" s="1773"/>
      <c r="QHP22" s="1773"/>
      <c r="QHQ22" s="1773"/>
      <c r="QHR22" s="1773"/>
      <c r="QHS22" s="1773"/>
      <c r="QHT22" s="1773"/>
      <c r="QHU22" s="1773"/>
      <c r="QHV22" s="1773"/>
      <c r="QHW22" s="1773"/>
      <c r="QHX22" s="1773"/>
      <c r="QHY22" s="1773"/>
      <c r="QHZ22" s="1773"/>
      <c r="QIA22" s="1773"/>
      <c r="QIB22" s="1773"/>
      <c r="QIC22" s="1773"/>
      <c r="QID22" s="1773"/>
      <c r="QIE22" s="1773"/>
      <c r="QIF22" s="1773"/>
      <c r="QIG22" s="1773"/>
      <c r="QIH22" s="1773"/>
      <c r="QII22" s="1773"/>
      <c r="QIJ22" s="1773"/>
      <c r="QIK22" s="1773"/>
      <c r="QIL22" s="1773"/>
      <c r="QIM22" s="1773"/>
      <c r="QIN22" s="1773"/>
      <c r="QIO22" s="1773"/>
      <c r="QIP22" s="1773"/>
      <c r="QIQ22" s="1773"/>
      <c r="QIR22" s="1773"/>
      <c r="QIS22" s="1773"/>
      <c r="QIT22" s="1773"/>
      <c r="QIU22" s="1773"/>
      <c r="QIV22" s="1773"/>
      <c r="QIW22" s="1773"/>
      <c r="QIX22" s="1773"/>
      <c r="QIY22" s="1773"/>
      <c r="QIZ22" s="1773"/>
      <c r="QJA22" s="1773"/>
      <c r="QJB22" s="1773"/>
      <c r="QJC22" s="1773"/>
      <c r="QJD22" s="1773"/>
      <c r="QJE22" s="1773"/>
      <c r="QJF22" s="1773"/>
      <c r="QJG22" s="1773"/>
      <c r="QJH22" s="1773"/>
      <c r="QJI22" s="1773"/>
      <c r="QJJ22" s="1773"/>
      <c r="QJK22" s="1773"/>
      <c r="QJL22" s="1773"/>
      <c r="QJM22" s="1773"/>
      <c r="QJN22" s="1773"/>
      <c r="QJO22" s="1773"/>
      <c r="QJP22" s="1773"/>
      <c r="QJQ22" s="1773"/>
      <c r="QJR22" s="1773"/>
      <c r="QJS22" s="1773"/>
      <c r="QJT22" s="1773"/>
      <c r="QJU22" s="1773"/>
      <c r="QJV22" s="1773"/>
      <c r="QJW22" s="1773"/>
      <c r="QJX22" s="1773"/>
      <c r="QJY22" s="1773"/>
      <c r="QJZ22" s="1773"/>
      <c r="QKA22" s="1773"/>
      <c r="QKB22" s="1773"/>
      <c r="QKC22" s="1773"/>
      <c r="QKD22" s="1773"/>
      <c r="QKE22" s="1773"/>
      <c r="QKF22" s="1773"/>
      <c r="QKG22" s="1773"/>
      <c r="QKH22" s="1773"/>
      <c r="QKI22" s="1773"/>
      <c r="QKJ22" s="1773"/>
      <c r="QKK22" s="1773"/>
      <c r="QKL22" s="1773"/>
      <c r="QKM22" s="1773"/>
      <c r="QKN22" s="1773"/>
      <c r="QKO22" s="1773"/>
      <c r="QKP22" s="1773"/>
      <c r="QKQ22" s="1773"/>
      <c r="QKR22" s="1773"/>
      <c r="QKS22" s="1773"/>
      <c r="QKT22" s="1773"/>
      <c r="QKU22" s="1773"/>
      <c r="QKV22" s="1773"/>
      <c r="QKW22" s="1773"/>
      <c r="QKX22" s="1773"/>
      <c r="QKY22" s="1773"/>
      <c r="QKZ22" s="1773"/>
      <c r="QLA22" s="1773"/>
      <c r="QLB22" s="1773"/>
      <c r="QLC22" s="1773"/>
      <c r="QLD22" s="1773"/>
      <c r="QLE22" s="1773"/>
      <c r="QLF22" s="1773"/>
      <c r="QLG22" s="1773"/>
      <c r="QLH22" s="1773"/>
      <c r="QLI22" s="1773"/>
      <c r="QLJ22" s="1773"/>
      <c r="QLK22" s="1773"/>
      <c r="QLL22" s="1773"/>
      <c r="QLM22" s="1773"/>
      <c r="QLN22" s="1773"/>
      <c r="QLO22" s="1773"/>
      <c r="QLP22" s="1773"/>
      <c r="QLQ22" s="1773"/>
      <c r="QLR22" s="1773"/>
      <c r="QLS22" s="1773"/>
      <c r="QLT22" s="1773"/>
      <c r="QLU22" s="1773"/>
      <c r="QLV22" s="1773"/>
      <c r="QLW22" s="1773"/>
      <c r="QLX22" s="1773"/>
      <c r="QLY22" s="1773"/>
      <c r="QLZ22" s="1773"/>
      <c r="QMA22" s="1773"/>
      <c r="QMB22" s="1773"/>
      <c r="QMC22" s="1773"/>
      <c r="QMD22" s="1773"/>
      <c r="QME22" s="1773"/>
      <c r="QMF22" s="1773"/>
      <c r="QMG22" s="1773"/>
      <c r="QMH22" s="1773"/>
      <c r="QMI22" s="1773"/>
      <c r="QMJ22" s="1773"/>
      <c r="QMK22" s="1773"/>
      <c r="QML22" s="1773"/>
      <c r="QMM22" s="1773"/>
      <c r="QMN22" s="1773"/>
      <c r="QMO22" s="1773"/>
      <c r="QMP22" s="1773"/>
      <c r="QMQ22" s="1773"/>
      <c r="QMR22" s="1773"/>
      <c r="QMS22" s="1773"/>
      <c r="QMT22" s="1773"/>
      <c r="QMU22" s="1773"/>
      <c r="QMV22" s="1773"/>
      <c r="QMW22" s="1773"/>
      <c r="QMX22" s="1773"/>
      <c r="QMY22" s="1773"/>
      <c r="QMZ22" s="1773"/>
      <c r="QNA22" s="1773"/>
      <c r="QNB22" s="1773"/>
      <c r="QNC22" s="1773"/>
      <c r="QND22" s="1773"/>
      <c r="QNE22" s="1773"/>
      <c r="QNF22" s="1773"/>
      <c r="QNG22" s="1773"/>
      <c r="QNH22" s="1773"/>
      <c r="QNI22" s="1773"/>
      <c r="QNJ22" s="1773"/>
      <c r="QNK22" s="1773"/>
      <c r="QNL22" s="1773"/>
      <c r="QNM22" s="1773"/>
      <c r="QNN22" s="1773"/>
      <c r="QNO22" s="1773"/>
      <c r="QNP22" s="1773"/>
      <c r="QNQ22" s="1773"/>
      <c r="QNR22" s="1773"/>
      <c r="QNS22" s="1773"/>
      <c r="QNT22" s="1773"/>
      <c r="QNU22" s="1773"/>
      <c r="QNV22" s="1773"/>
      <c r="QNW22" s="1773"/>
      <c r="QNX22" s="1773"/>
      <c r="QNY22" s="1773"/>
      <c r="QNZ22" s="1773"/>
      <c r="QOA22" s="1773"/>
      <c r="QOB22" s="1773"/>
      <c r="QOC22" s="1773"/>
      <c r="QOD22" s="1773"/>
      <c r="QOE22" s="1773"/>
      <c r="QOF22" s="1773"/>
      <c r="QOG22" s="1773"/>
      <c r="QOH22" s="1773"/>
      <c r="QOI22" s="1773"/>
      <c r="QOJ22" s="1773"/>
      <c r="QOK22" s="1773"/>
      <c r="QOL22" s="1773"/>
      <c r="QOM22" s="1773"/>
      <c r="QON22" s="1773"/>
      <c r="QOO22" s="1773"/>
      <c r="QOP22" s="1773"/>
      <c r="QOQ22" s="1773"/>
      <c r="QOR22" s="1773"/>
      <c r="QOS22" s="1773"/>
      <c r="QOT22" s="1773"/>
      <c r="QOU22" s="1773"/>
      <c r="QOV22" s="1773"/>
      <c r="QOW22" s="1773"/>
      <c r="QOX22" s="1773"/>
      <c r="QOY22" s="1773"/>
      <c r="QOZ22" s="1773"/>
      <c r="QPA22" s="1773"/>
      <c r="QPB22" s="1773"/>
      <c r="QPC22" s="1773"/>
      <c r="QPD22" s="1773"/>
      <c r="QPE22" s="1773"/>
      <c r="QPF22" s="1773"/>
      <c r="QPG22" s="1773"/>
      <c r="QPH22" s="1773"/>
      <c r="QPI22" s="1773"/>
      <c r="QPJ22" s="1773"/>
      <c r="QPK22" s="1773"/>
      <c r="QPL22" s="1773"/>
      <c r="QPM22" s="1773"/>
      <c r="QPN22" s="1773"/>
      <c r="QPO22" s="1773"/>
      <c r="QPP22" s="1773"/>
      <c r="QPQ22" s="1773"/>
      <c r="QPR22" s="1773"/>
      <c r="QPS22" s="1773"/>
      <c r="QPT22" s="1773"/>
      <c r="QPU22" s="1773"/>
      <c r="QPV22" s="1773"/>
      <c r="QPW22" s="1773"/>
      <c r="QPX22" s="1773"/>
      <c r="QPY22" s="1773"/>
      <c r="QPZ22" s="1773"/>
      <c r="QQA22" s="1773"/>
      <c r="QQB22" s="1773"/>
      <c r="QQC22" s="1773"/>
      <c r="QQD22" s="1773"/>
      <c r="QQE22" s="1773"/>
      <c r="QQF22" s="1773"/>
      <c r="QQG22" s="1773"/>
      <c r="QQH22" s="1773"/>
      <c r="QQI22" s="1773"/>
      <c r="QQJ22" s="1773"/>
      <c r="QQK22" s="1773"/>
      <c r="QQL22" s="1773"/>
      <c r="QQM22" s="1773"/>
      <c r="QQN22" s="1773"/>
      <c r="QQO22" s="1773"/>
      <c r="QQP22" s="1773"/>
      <c r="QQQ22" s="1773"/>
      <c r="QQR22" s="1773"/>
      <c r="QQS22" s="1773"/>
      <c r="QQT22" s="1773"/>
      <c r="QQU22" s="1773"/>
      <c r="QQV22" s="1773"/>
      <c r="QQW22" s="1773"/>
      <c r="QQX22" s="1773"/>
      <c r="QQY22" s="1773"/>
      <c r="QQZ22" s="1773"/>
      <c r="QRA22" s="1773"/>
      <c r="QRB22" s="1773"/>
      <c r="QRC22" s="1773"/>
      <c r="QRD22" s="1773"/>
      <c r="QRE22" s="1773"/>
      <c r="QRF22" s="1773"/>
      <c r="QRG22" s="1773"/>
      <c r="QRH22" s="1773"/>
      <c r="QRI22" s="1773"/>
      <c r="QRJ22" s="1773"/>
      <c r="QRK22" s="1773"/>
      <c r="QRL22" s="1773"/>
      <c r="QRM22" s="1773"/>
      <c r="QRN22" s="1773"/>
      <c r="QRO22" s="1773"/>
      <c r="QRP22" s="1773"/>
      <c r="QRQ22" s="1773"/>
      <c r="QRR22" s="1773"/>
      <c r="QRS22" s="1773"/>
      <c r="QRT22" s="1773"/>
      <c r="QRU22" s="1773"/>
      <c r="QRV22" s="1773"/>
      <c r="QRW22" s="1773"/>
      <c r="QRX22" s="1773"/>
      <c r="QRY22" s="1773"/>
      <c r="QRZ22" s="1773"/>
      <c r="QSA22" s="1773"/>
      <c r="QSB22" s="1773"/>
      <c r="QSC22" s="1773"/>
      <c r="QSD22" s="1773"/>
      <c r="QSE22" s="1773"/>
      <c r="QSF22" s="1773"/>
      <c r="QSG22" s="1773"/>
      <c r="QSH22" s="1773"/>
      <c r="QSI22" s="1773"/>
      <c r="QSJ22" s="1773"/>
      <c r="QSK22" s="1773"/>
      <c r="QSL22" s="1773"/>
      <c r="QSM22" s="1773"/>
      <c r="QSN22" s="1773"/>
      <c r="QSO22" s="1773"/>
      <c r="QSP22" s="1773"/>
      <c r="QSQ22" s="1773"/>
      <c r="QSR22" s="1773"/>
      <c r="QSS22" s="1773"/>
      <c r="QST22" s="1773"/>
      <c r="QSU22" s="1773"/>
      <c r="QSV22" s="1773"/>
      <c r="QSW22" s="1773"/>
      <c r="QSX22" s="1773"/>
      <c r="QSY22" s="1773"/>
      <c r="QSZ22" s="1773"/>
      <c r="QTA22" s="1773"/>
      <c r="QTB22" s="1773"/>
      <c r="QTC22" s="1773"/>
      <c r="QTD22" s="1773"/>
      <c r="QTE22" s="1773"/>
      <c r="QTF22" s="1773"/>
      <c r="QTG22" s="1773"/>
      <c r="QTH22" s="1773"/>
      <c r="QTI22" s="1773"/>
      <c r="QTJ22" s="1773"/>
      <c r="QTK22" s="1773"/>
      <c r="QTL22" s="1773"/>
      <c r="QTM22" s="1773"/>
      <c r="QTN22" s="1773"/>
      <c r="QTO22" s="1773"/>
      <c r="QTP22" s="1773"/>
      <c r="QTQ22" s="1773"/>
      <c r="QTR22" s="1773"/>
      <c r="QTS22" s="1773"/>
      <c r="QTT22" s="1773"/>
      <c r="QTU22" s="1773"/>
      <c r="QTV22" s="1773"/>
      <c r="QTW22" s="1773"/>
      <c r="QTX22" s="1773"/>
      <c r="QTY22" s="1773"/>
      <c r="QTZ22" s="1773"/>
      <c r="QUA22" s="1773"/>
      <c r="QUB22" s="1773"/>
      <c r="QUC22" s="1773"/>
      <c r="QUD22" s="1773"/>
      <c r="QUE22" s="1773"/>
      <c r="QUF22" s="1773"/>
      <c r="QUG22" s="1773"/>
      <c r="QUH22" s="1773"/>
      <c r="QUI22" s="1773"/>
      <c r="QUJ22" s="1773"/>
      <c r="QUK22" s="1773"/>
      <c r="QUL22" s="1773"/>
      <c r="QUM22" s="1773"/>
      <c r="QUN22" s="1773"/>
      <c r="QUO22" s="1773"/>
      <c r="QUP22" s="1773"/>
      <c r="QUQ22" s="1773"/>
      <c r="QUR22" s="1773"/>
      <c r="QUS22" s="1773"/>
      <c r="QUT22" s="1773"/>
      <c r="QUU22" s="1773"/>
      <c r="QUV22" s="1773"/>
      <c r="QUW22" s="1773"/>
      <c r="QUX22" s="1773"/>
      <c r="QUY22" s="1773"/>
      <c r="QUZ22" s="1773"/>
      <c r="QVA22" s="1773"/>
      <c r="QVB22" s="1773"/>
      <c r="QVC22" s="1773"/>
      <c r="QVD22" s="1773"/>
      <c r="QVE22" s="1773"/>
      <c r="QVF22" s="1773"/>
      <c r="QVG22" s="1773"/>
      <c r="QVH22" s="1773"/>
      <c r="QVI22" s="1773"/>
      <c r="QVJ22" s="1773"/>
      <c r="QVK22" s="1773"/>
      <c r="QVL22" s="1773"/>
      <c r="QVM22" s="1773"/>
      <c r="QVN22" s="1773"/>
      <c r="QVO22" s="1773"/>
      <c r="QVP22" s="1773"/>
      <c r="QVQ22" s="1773"/>
      <c r="QVR22" s="1773"/>
      <c r="QVS22" s="1773"/>
      <c r="QVT22" s="1773"/>
      <c r="QVU22" s="1773"/>
      <c r="QVV22" s="1773"/>
      <c r="QVW22" s="1773"/>
      <c r="QVX22" s="1773"/>
      <c r="QVY22" s="1773"/>
      <c r="QVZ22" s="1773"/>
      <c r="QWA22" s="1773"/>
      <c r="QWB22" s="1773"/>
      <c r="QWC22" s="1773"/>
      <c r="QWD22" s="1773"/>
      <c r="QWE22" s="1773"/>
      <c r="QWF22" s="1773"/>
      <c r="QWG22" s="1773"/>
      <c r="QWH22" s="1773"/>
      <c r="QWI22" s="1773"/>
      <c r="QWJ22" s="1773"/>
      <c r="QWK22" s="1773"/>
      <c r="QWL22" s="1773"/>
      <c r="QWM22" s="1773"/>
      <c r="QWN22" s="1773"/>
      <c r="QWO22" s="1773"/>
      <c r="QWP22" s="1773"/>
      <c r="QWQ22" s="1773"/>
      <c r="QWR22" s="1773"/>
      <c r="QWS22" s="1773"/>
      <c r="QWT22" s="1773"/>
      <c r="QWU22" s="1773"/>
      <c r="QWV22" s="1773"/>
      <c r="QWW22" s="1773"/>
      <c r="QWX22" s="1773"/>
      <c r="QWY22" s="1773"/>
      <c r="QWZ22" s="1773"/>
      <c r="QXA22" s="1773"/>
      <c r="QXB22" s="1773"/>
      <c r="QXC22" s="1773"/>
      <c r="QXD22" s="1773"/>
      <c r="QXE22" s="1773"/>
      <c r="QXF22" s="1773"/>
      <c r="QXG22" s="1773"/>
      <c r="QXH22" s="1773"/>
      <c r="QXI22" s="1773"/>
      <c r="QXJ22" s="1773"/>
      <c r="QXK22" s="1773"/>
      <c r="QXL22" s="1773"/>
      <c r="QXM22" s="1773"/>
      <c r="QXN22" s="1773"/>
      <c r="QXO22" s="1773"/>
      <c r="QXP22" s="1773"/>
      <c r="QXQ22" s="1773"/>
      <c r="QXR22" s="1773"/>
      <c r="QXS22" s="1773"/>
      <c r="QXT22" s="1773"/>
      <c r="QXU22" s="1773"/>
      <c r="QXV22" s="1773"/>
      <c r="QXW22" s="1773"/>
      <c r="QXX22" s="1773"/>
      <c r="QXY22" s="1773"/>
      <c r="QXZ22" s="1773"/>
      <c r="QYA22" s="1773"/>
      <c r="QYB22" s="1773"/>
      <c r="QYC22" s="1773"/>
      <c r="QYD22" s="1773"/>
      <c r="QYE22" s="1773"/>
      <c r="QYF22" s="1773"/>
      <c r="QYG22" s="1773"/>
      <c r="QYH22" s="1773"/>
      <c r="QYI22" s="1773"/>
      <c r="QYJ22" s="1773"/>
      <c r="QYK22" s="1773"/>
      <c r="QYL22" s="1773"/>
      <c r="QYM22" s="1773"/>
      <c r="QYN22" s="1773"/>
      <c r="QYO22" s="1773"/>
      <c r="QYP22" s="1773"/>
      <c r="QYQ22" s="1773"/>
      <c r="QYR22" s="1773"/>
      <c r="QYS22" s="1773"/>
      <c r="QYT22" s="1773"/>
      <c r="QYU22" s="1773"/>
      <c r="QYV22" s="1773"/>
      <c r="QYW22" s="1773"/>
      <c r="QYX22" s="1773"/>
      <c r="QYY22" s="1773"/>
      <c r="QYZ22" s="1773"/>
      <c r="QZA22" s="1773"/>
      <c r="QZB22" s="1773"/>
      <c r="QZC22" s="1773"/>
      <c r="QZD22" s="1773"/>
      <c r="QZE22" s="1773"/>
      <c r="QZF22" s="1773"/>
      <c r="QZG22" s="1773"/>
      <c r="QZH22" s="1773"/>
      <c r="QZI22" s="1773"/>
      <c r="QZJ22" s="1773"/>
      <c r="QZK22" s="1773"/>
      <c r="QZL22" s="1773"/>
      <c r="QZM22" s="1773"/>
      <c r="QZN22" s="1773"/>
      <c r="QZO22" s="1773"/>
      <c r="QZP22" s="1773"/>
      <c r="QZQ22" s="1773"/>
      <c r="QZR22" s="1773"/>
      <c r="QZS22" s="1773"/>
      <c r="QZT22" s="1773"/>
      <c r="QZU22" s="1773"/>
      <c r="QZV22" s="1773"/>
      <c r="QZW22" s="1773"/>
      <c r="QZX22" s="1773"/>
      <c r="QZY22" s="1773"/>
      <c r="QZZ22" s="1773"/>
      <c r="RAA22" s="1773"/>
      <c r="RAB22" s="1773"/>
      <c r="RAC22" s="1773"/>
      <c r="RAD22" s="1773"/>
      <c r="RAE22" s="1773"/>
      <c r="RAF22" s="1773"/>
      <c r="RAG22" s="1773"/>
      <c r="RAH22" s="1773"/>
      <c r="RAI22" s="1773"/>
      <c r="RAJ22" s="1773"/>
      <c r="RAK22" s="1773"/>
      <c r="RAL22" s="1773"/>
      <c r="RAM22" s="1773"/>
      <c r="RAN22" s="1773"/>
      <c r="RAO22" s="1773"/>
      <c r="RAP22" s="1773"/>
      <c r="RAQ22" s="1773"/>
      <c r="RAR22" s="1773"/>
      <c r="RAS22" s="1773"/>
      <c r="RAT22" s="1773"/>
      <c r="RAU22" s="1773"/>
      <c r="RAV22" s="1773"/>
      <c r="RAW22" s="1773"/>
      <c r="RAX22" s="1773"/>
      <c r="RAY22" s="1773"/>
      <c r="RAZ22" s="1773"/>
      <c r="RBA22" s="1773"/>
      <c r="RBB22" s="1773"/>
      <c r="RBC22" s="1773"/>
      <c r="RBD22" s="1773"/>
      <c r="RBE22" s="1773"/>
      <c r="RBF22" s="1773"/>
      <c r="RBG22" s="1773"/>
      <c r="RBH22" s="1773"/>
      <c r="RBI22" s="1773"/>
      <c r="RBJ22" s="1773"/>
      <c r="RBK22" s="1773"/>
      <c r="RBL22" s="1773"/>
      <c r="RBM22" s="1773"/>
      <c r="RBN22" s="1773"/>
      <c r="RBO22" s="1773"/>
      <c r="RBP22" s="1773"/>
      <c r="RBQ22" s="1773"/>
      <c r="RBR22" s="1773"/>
      <c r="RBS22" s="1773"/>
      <c r="RBT22" s="1773"/>
      <c r="RBU22" s="1773"/>
      <c r="RBV22" s="1773"/>
      <c r="RBW22" s="1773"/>
      <c r="RBX22" s="1773"/>
      <c r="RBY22" s="1773"/>
      <c r="RBZ22" s="1773"/>
      <c r="RCA22" s="1773"/>
      <c r="RCB22" s="1773"/>
      <c r="RCC22" s="1773"/>
      <c r="RCD22" s="1773"/>
      <c r="RCE22" s="1773"/>
      <c r="RCF22" s="1773"/>
      <c r="RCG22" s="1773"/>
      <c r="RCH22" s="1773"/>
      <c r="RCI22" s="1773"/>
      <c r="RCJ22" s="1773"/>
      <c r="RCK22" s="1773"/>
      <c r="RCL22" s="1773"/>
      <c r="RCM22" s="1773"/>
      <c r="RCN22" s="1773"/>
      <c r="RCO22" s="1773"/>
      <c r="RCP22" s="1773"/>
      <c r="RCQ22" s="1773"/>
      <c r="RCR22" s="1773"/>
      <c r="RCS22" s="1773"/>
      <c r="RCT22" s="1773"/>
      <c r="RCU22" s="1773"/>
      <c r="RCV22" s="1773"/>
      <c r="RCW22" s="1773"/>
      <c r="RCX22" s="1773"/>
      <c r="RCY22" s="1773"/>
      <c r="RCZ22" s="1773"/>
      <c r="RDA22" s="1773"/>
      <c r="RDB22" s="1773"/>
      <c r="RDC22" s="1773"/>
      <c r="RDD22" s="1773"/>
      <c r="RDE22" s="1773"/>
      <c r="RDF22" s="1773"/>
      <c r="RDG22" s="1773"/>
      <c r="RDH22" s="1773"/>
      <c r="RDI22" s="1773"/>
      <c r="RDJ22" s="1773"/>
      <c r="RDK22" s="1773"/>
      <c r="RDL22" s="1773"/>
      <c r="RDM22" s="1773"/>
      <c r="RDN22" s="1773"/>
      <c r="RDO22" s="1773"/>
      <c r="RDP22" s="1773"/>
      <c r="RDQ22" s="1773"/>
      <c r="RDR22" s="1773"/>
      <c r="RDS22" s="1773"/>
      <c r="RDT22" s="1773"/>
      <c r="RDU22" s="1773"/>
      <c r="RDV22" s="1773"/>
      <c r="RDW22" s="1773"/>
      <c r="RDX22" s="1773"/>
      <c r="RDY22" s="1773"/>
      <c r="RDZ22" s="1773"/>
      <c r="REA22" s="1773"/>
      <c r="REB22" s="1773"/>
      <c r="REC22" s="1773"/>
      <c r="RED22" s="1773"/>
      <c r="REE22" s="1773"/>
      <c r="REF22" s="1773"/>
      <c r="REG22" s="1773"/>
      <c r="REH22" s="1773"/>
      <c r="REI22" s="1773"/>
      <c r="REJ22" s="1773"/>
      <c r="REK22" s="1773"/>
      <c r="REL22" s="1773"/>
      <c r="REM22" s="1773"/>
      <c r="REN22" s="1773"/>
      <c r="REO22" s="1773"/>
      <c r="REP22" s="1773"/>
      <c r="REQ22" s="1773"/>
      <c r="RER22" s="1773"/>
      <c r="RES22" s="1773"/>
      <c r="RET22" s="1773"/>
      <c r="REU22" s="1773"/>
      <c r="REV22" s="1773"/>
      <c r="REW22" s="1773"/>
      <c r="REX22" s="1773"/>
      <c r="REY22" s="1773"/>
      <c r="REZ22" s="1773"/>
      <c r="RFA22" s="1773"/>
      <c r="RFB22" s="1773"/>
      <c r="RFC22" s="1773"/>
      <c r="RFD22" s="1773"/>
      <c r="RFE22" s="1773"/>
      <c r="RFF22" s="1773"/>
      <c r="RFG22" s="1773"/>
      <c r="RFH22" s="1773"/>
      <c r="RFI22" s="1773"/>
      <c r="RFJ22" s="1773"/>
      <c r="RFK22" s="1773"/>
      <c r="RFL22" s="1773"/>
      <c r="RFM22" s="1773"/>
      <c r="RFN22" s="1773"/>
      <c r="RFO22" s="1773"/>
      <c r="RFP22" s="1773"/>
      <c r="RFQ22" s="1773"/>
      <c r="RFR22" s="1773"/>
      <c r="RFS22" s="1773"/>
      <c r="RFT22" s="1773"/>
      <c r="RFU22" s="1773"/>
      <c r="RFV22" s="1773"/>
      <c r="RFW22" s="1773"/>
      <c r="RFX22" s="1773"/>
      <c r="RFY22" s="1773"/>
      <c r="RFZ22" s="1773"/>
      <c r="RGA22" s="1773"/>
      <c r="RGB22" s="1773"/>
      <c r="RGC22" s="1773"/>
      <c r="RGD22" s="1773"/>
      <c r="RGE22" s="1773"/>
      <c r="RGF22" s="1773"/>
      <c r="RGG22" s="1773"/>
      <c r="RGH22" s="1773"/>
      <c r="RGI22" s="1773"/>
      <c r="RGJ22" s="1773"/>
      <c r="RGK22" s="1773"/>
      <c r="RGL22" s="1773"/>
      <c r="RGM22" s="1773"/>
      <c r="RGN22" s="1773"/>
      <c r="RGO22" s="1773"/>
      <c r="RGP22" s="1773"/>
      <c r="RGQ22" s="1773"/>
      <c r="RGR22" s="1773"/>
      <c r="RGS22" s="1773"/>
      <c r="RGT22" s="1773"/>
      <c r="RGU22" s="1773"/>
      <c r="RGV22" s="1773"/>
      <c r="RGW22" s="1773"/>
      <c r="RGX22" s="1773"/>
      <c r="RGY22" s="1773"/>
      <c r="RGZ22" s="1773"/>
      <c r="RHA22" s="1773"/>
      <c r="RHB22" s="1773"/>
      <c r="RHC22" s="1773"/>
      <c r="RHD22" s="1773"/>
      <c r="RHE22" s="1773"/>
      <c r="RHF22" s="1773"/>
      <c r="RHG22" s="1773"/>
      <c r="RHH22" s="1773"/>
      <c r="RHI22" s="1773"/>
      <c r="RHJ22" s="1773"/>
      <c r="RHK22" s="1773"/>
      <c r="RHL22" s="1773"/>
      <c r="RHM22" s="1773"/>
      <c r="RHN22" s="1773"/>
      <c r="RHO22" s="1773"/>
      <c r="RHP22" s="1773"/>
      <c r="RHQ22" s="1773"/>
      <c r="RHR22" s="1773"/>
      <c r="RHS22" s="1773"/>
      <c r="RHT22" s="1773"/>
      <c r="RHU22" s="1773"/>
      <c r="RHV22" s="1773"/>
      <c r="RHW22" s="1773"/>
      <c r="RHX22" s="1773"/>
      <c r="RHY22" s="1773"/>
      <c r="RHZ22" s="1773"/>
      <c r="RIA22" s="1773"/>
      <c r="RIB22" s="1773"/>
      <c r="RIC22" s="1773"/>
      <c r="RID22" s="1773"/>
      <c r="RIE22" s="1773"/>
      <c r="RIF22" s="1773"/>
      <c r="RIG22" s="1773"/>
      <c r="RIH22" s="1773"/>
      <c r="RII22" s="1773"/>
      <c r="RIJ22" s="1773"/>
      <c r="RIK22" s="1773"/>
      <c r="RIL22" s="1773"/>
      <c r="RIM22" s="1773"/>
      <c r="RIN22" s="1773"/>
      <c r="RIO22" s="1773"/>
      <c r="RIP22" s="1773"/>
      <c r="RIQ22" s="1773"/>
      <c r="RIR22" s="1773"/>
      <c r="RIS22" s="1773"/>
      <c r="RIT22" s="1773"/>
      <c r="RIU22" s="1773"/>
      <c r="RIV22" s="1773"/>
      <c r="RIW22" s="1773"/>
      <c r="RIX22" s="1773"/>
      <c r="RIY22" s="1773"/>
      <c r="RIZ22" s="1773"/>
      <c r="RJA22" s="1773"/>
      <c r="RJB22" s="1773"/>
      <c r="RJC22" s="1773"/>
      <c r="RJD22" s="1773"/>
      <c r="RJE22" s="1773"/>
      <c r="RJF22" s="1773"/>
      <c r="RJG22" s="1773"/>
      <c r="RJH22" s="1773"/>
      <c r="RJI22" s="1773"/>
      <c r="RJJ22" s="1773"/>
      <c r="RJK22" s="1773"/>
      <c r="RJL22" s="1773"/>
      <c r="RJM22" s="1773"/>
      <c r="RJN22" s="1773"/>
      <c r="RJO22" s="1773"/>
      <c r="RJP22" s="1773"/>
      <c r="RJQ22" s="1773"/>
      <c r="RJR22" s="1773"/>
      <c r="RJS22" s="1773"/>
      <c r="RJT22" s="1773"/>
      <c r="RJU22" s="1773"/>
      <c r="RJV22" s="1773"/>
      <c r="RJW22" s="1773"/>
      <c r="RJX22" s="1773"/>
      <c r="RJY22" s="1773"/>
      <c r="RJZ22" s="1773"/>
      <c r="RKA22" s="1773"/>
      <c r="RKB22" s="1773"/>
      <c r="RKC22" s="1773"/>
      <c r="RKD22" s="1773"/>
      <c r="RKE22" s="1773"/>
      <c r="RKF22" s="1773"/>
      <c r="RKG22" s="1773"/>
      <c r="RKH22" s="1773"/>
      <c r="RKI22" s="1773"/>
      <c r="RKJ22" s="1773"/>
      <c r="RKK22" s="1773"/>
      <c r="RKL22" s="1773"/>
      <c r="RKM22" s="1773"/>
      <c r="RKN22" s="1773"/>
      <c r="RKO22" s="1773"/>
      <c r="RKP22" s="1773"/>
      <c r="RKQ22" s="1773"/>
      <c r="RKR22" s="1773"/>
      <c r="RKS22" s="1773"/>
      <c r="RKT22" s="1773"/>
      <c r="RKU22" s="1773"/>
      <c r="RKV22" s="1773"/>
      <c r="RKW22" s="1773"/>
      <c r="RKX22" s="1773"/>
      <c r="RKY22" s="1773"/>
      <c r="RKZ22" s="1773"/>
      <c r="RLA22" s="1773"/>
      <c r="RLB22" s="1773"/>
      <c r="RLC22" s="1773"/>
      <c r="RLD22" s="1773"/>
      <c r="RLE22" s="1773"/>
      <c r="RLF22" s="1773"/>
      <c r="RLG22" s="1773"/>
      <c r="RLH22" s="1773"/>
      <c r="RLI22" s="1773"/>
      <c r="RLJ22" s="1773"/>
      <c r="RLK22" s="1773"/>
      <c r="RLL22" s="1773"/>
      <c r="RLM22" s="1773"/>
      <c r="RLN22" s="1773"/>
      <c r="RLO22" s="1773"/>
      <c r="RLP22" s="1773"/>
      <c r="RLQ22" s="1773"/>
      <c r="RLR22" s="1773"/>
      <c r="RLS22" s="1773"/>
      <c r="RLT22" s="1773"/>
      <c r="RLU22" s="1773"/>
      <c r="RLV22" s="1773"/>
      <c r="RLW22" s="1773"/>
      <c r="RLX22" s="1773"/>
      <c r="RLY22" s="1773"/>
      <c r="RLZ22" s="1773"/>
      <c r="RMA22" s="1773"/>
      <c r="RMB22" s="1773"/>
      <c r="RMC22" s="1773"/>
      <c r="RMD22" s="1773"/>
      <c r="RME22" s="1773"/>
      <c r="RMF22" s="1773"/>
      <c r="RMG22" s="1773"/>
      <c r="RMH22" s="1773"/>
      <c r="RMI22" s="1773"/>
      <c r="RMJ22" s="1773"/>
      <c r="RMK22" s="1773"/>
      <c r="RML22" s="1773"/>
      <c r="RMM22" s="1773"/>
      <c r="RMN22" s="1773"/>
      <c r="RMO22" s="1773"/>
      <c r="RMP22" s="1773"/>
      <c r="RMQ22" s="1773"/>
      <c r="RMR22" s="1773"/>
      <c r="RMS22" s="1773"/>
      <c r="RMT22" s="1773"/>
      <c r="RMU22" s="1773"/>
      <c r="RMV22" s="1773"/>
      <c r="RMW22" s="1773"/>
      <c r="RMX22" s="1773"/>
      <c r="RMY22" s="1773"/>
      <c r="RMZ22" s="1773"/>
      <c r="RNA22" s="1773"/>
      <c r="RNB22" s="1773"/>
      <c r="RNC22" s="1773"/>
      <c r="RND22" s="1773"/>
      <c r="RNE22" s="1773"/>
      <c r="RNF22" s="1773"/>
      <c r="RNG22" s="1773"/>
      <c r="RNH22" s="1773"/>
      <c r="RNI22" s="1773"/>
      <c r="RNJ22" s="1773"/>
      <c r="RNK22" s="1773"/>
      <c r="RNL22" s="1773"/>
      <c r="RNM22" s="1773"/>
      <c r="RNN22" s="1773"/>
      <c r="RNO22" s="1773"/>
      <c r="RNP22" s="1773"/>
      <c r="RNQ22" s="1773"/>
      <c r="RNR22" s="1773"/>
      <c r="RNS22" s="1773"/>
      <c r="RNT22" s="1773"/>
      <c r="RNU22" s="1773"/>
      <c r="RNV22" s="1773"/>
      <c r="RNW22" s="1773"/>
      <c r="RNX22" s="1773"/>
      <c r="RNY22" s="1773"/>
      <c r="RNZ22" s="1773"/>
      <c r="ROA22" s="1773"/>
      <c r="ROB22" s="1773"/>
      <c r="ROC22" s="1773"/>
      <c r="ROD22" s="1773"/>
      <c r="ROE22" s="1773"/>
      <c r="ROF22" s="1773"/>
      <c r="ROG22" s="1773"/>
      <c r="ROH22" s="1773"/>
      <c r="ROI22" s="1773"/>
      <c r="ROJ22" s="1773"/>
      <c r="ROK22" s="1773"/>
      <c r="ROL22" s="1773"/>
      <c r="ROM22" s="1773"/>
      <c r="RON22" s="1773"/>
      <c r="ROO22" s="1773"/>
      <c r="ROP22" s="1773"/>
      <c r="ROQ22" s="1773"/>
      <c r="ROR22" s="1773"/>
      <c r="ROS22" s="1773"/>
      <c r="ROT22" s="1773"/>
      <c r="ROU22" s="1773"/>
      <c r="ROV22" s="1773"/>
      <c r="ROW22" s="1773"/>
      <c r="ROX22" s="1773"/>
      <c r="ROY22" s="1773"/>
      <c r="ROZ22" s="1773"/>
      <c r="RPA22" s="1773"/>
      <c r="RPB22" s="1773"/>
      <c r="RPC22" s="1773"/>
      <c r="RPD22" s="1773"/>
      <c r="RPE22" s="1773"/>
      <c r="RPF22" s="1773"/>
      <c r="RPG22" s="1773"/>
      <c r="RPH22" s="1773"/>
      <c r="RPI22" s="1773"/>
      <c r="RPJ22" s="1773"/>
      <c r="RPK22" s="1773"/>
      <c r="RPL22" s="1773"/>
      <c r="RPM22" s="1773"/>
      <c r="RPN22" s="1773"/>
      <c r="RPO22" s="1773"/>
      <c r="RPP22" s="1773"/>
      <c r="RPQ22" s="1773"/>
      <c r="RPR22" s="1773"/>
      <c r="RPS22" s="1773"/>
      <c r="RPT22" s="1773"/>
      <c r="RPU22" s="1773"/>
      <c r="RPV22" s="1773"/>
      <c r="RPW22" s="1773"/>
      <c r="RPX22" s="1773"/>
      <c r="RPY22" s="1773"/>
      <c r="RPZ22" s="1773"/>
      <c r="RQA22" s="1773"/>
      <c r="RQB22" s="1773"/>
      <c r="RQC22" s="1773"/>
      <c r="RQD22" s="1773"/>
      <c r="RQE22" s="1773"/>
      <c r="RQF22" s="1773"/>
      <c r="RQG22" s="1773"/>
      <c r="RQH22" s="1773"/>
      <c r="RQI22" s="1773"/>
      <c r="RQJ22" s="1773"/>
      <c r="RQK22" s="1773"/>
      <c r="RQL22" s="1773"/>
      <c r="RQM22" s="1773"/>
      <c r="RQN22" s="1773"/>
      <c r="RQO22" s="1773"/>
      <c r="RQP22" s="1773"/>
      <c r="RQQ22" s="1773"/>
      <c r="RQR22" s="1773"/>
      <c r="RQS22" s="1773"/>
      <c r="RQT22" s="1773"/>
      <c r="RQU22" s="1773"/>
      <c r="RQV22" s="1773"/>
      <c r="RQW22" s="1773"/>
      <c r="RQX22" s="1773"/>
      <c r="RQY22" s="1773"/>
      <c r="RQZ22" s="1773"/>
      <c r="RRA22" s="1773"/>
      <c r="RRB22" s="1773"/>
      <c r="RRC22" s="1773"/>
      <c r="RRD22" s="1773"/>
      <c r="RRE22" s="1773"/>
      <c r="RRF22" s="1773"/>
      <c r="RRG22" s="1773"/>
      <c r="RRH22" s="1773"/>
      <c r="RRI22" s="1773"/>
      <c r="RRJ22" s="1773"/>
      <c r="RRK22" s="1773"/>
      <c r="RRL22" s="1773"/>
      <c r="RRM22" s="1773"/>
      <c r="RRN22" s="1773"/>
      <c r="RRO22" s="1773"/>
      <c r="RRP22" s="1773"/>
      <c r="RRQ22" s="1773"/>
      <c r="RRR22" s="1773"/>
      <c r="RRS22" s="1773"/>
      <c r="RRT22" s="1773"/>
      <c r="RRU22" s="1773"/>
      <c r="RRV22" s="1773"/>
      <c r="RRW22" s="1773"/>
      <c r="RRX22" s="1773"/>
      <c r="RRY22" s="1773"/>
      <c r="RRZ22" s="1773"/>
      <c r="RSA22" s="1773"/>
      <c r="RSB22" s="1773"/>
      <c r="RSC22" s="1773"/>
      <c r="RSD22" s="1773"/>
      <c r="RSE22" s="1773"/>
      <c r="RSF22" s="1773"/>
      <c r="RSG22" s="1773"/>
      <c r="RSH22" s="1773"/>
      <c r="RSI22" s="1773"/>
      <c r="RSJ22" s="1773"/>
      <c r="RSK22" s="1773"/>
      <c r="RSL22" s="1773"/>
      <c r="RSM22" s="1773"/>
      <c r="RSN22" s="1773"/>
      <c r="RSO22" s="1773"/>
      <c r="RSP22" s="1773"/>
      <c r="RSQ22" s="1773"/>
      <c r="RSR22" s="1773"/>
      <c r="RSS22" s="1773"/>
      <c r="RST22" s="1773"/>
      <c r="RSU22" s="1773"/>
      <c r="RSV22" s="1773"/>
      <c r="RSW22" s="1773"/>
      <c r="RSX22" s="1773"/>
      <c r="RSY22" s="1773"/>
      <c r="RSZ22" s="1773"/>
      <c r="RTA22" s="1773"/>
      <c r="RTB22" s="1773"/>
      <c r="RTC22" s="1773"/>
      <c r="RTD22" s="1773"/>
      <c r="RTE22" s="1773"/>
      <c r="RTF22" s="1773"/>
      <c r="RTG22" s="1773"/>
      <c r="RTH22" s="1773"/>
      <c r="RTI22" s="1773"/>
      <c r="RTJ22" s="1773"/>
      <c r="RTK22" s="1773"/>
      <c r="RTL22" s="1773"/>
      <c r="RTM22" s="1773"/>
      <c r="RTN22" s="1773"/>
      <c r="RTO22" s="1773"/>
      <c r="RTP22" s="1773"/>
      <c r="RTQ22" s="1773"/>
      <c r="RTR22" s="1773"/>
      <c r="RTS22" s="1773"/>
      <c r="RTT22" s="1773"/>
      <c r="RTU22" s="1773"/>
      <c r="RTV22" s="1773"/>
      <c r="RTW22" s="1773"/>
      <c r="RTX22" s="1773"/>
      <c r="RTY22" s="1773"/>
      <c r="RTZ22" s="1773"/>
      <c r="RUA22" s="1773"/>
      <c r="RUB22" s="1773"/>
      <c r="RUC22" s="1773"/>
      <c r="RUD22" s="1773"/>
      <c r="RUE22" s="1773"/>
      <c r="RUF22" s="1773"/>
      <c r="RUG22" s="1773"/>
      <c r="RUH22" s="1773"/>
      <c r="RUI22" s="1773"/>
      <c r="RUJ22" s="1773"/>
      <c r="RUK22" s="1773"/>
      <c r="RUL22" s="1773"/>
      <c r="RUM22" s="1773"/>
      <c r="RUN22" s="1773"/>
      <c r="RUO22" s="1773"/>
      <c r="RUP22" s="1773"/>
      <c r="RUQ22" s="1773"/>
      <c r="RUR22" s="1773"/>
      <c r="RUS22" s="1773"/>
      <c r="RUT22" s="1773"/>
      <c r="RUU22" s="1773"/>
      <c r="RUV22" s="1773"/>
      <c r="RUW22" s="1773"/>
      <c r="RUX22" s="1773"/>
      <c r="RUY22" s="1773"/>
      <c r="RUZ22" s="1773"/>
      <c r="RVA22" s="1773"/>
      <c r="RVB22" s="1773"/>
      <c r="RVC22" s="1773"/>
      <c r="RVD22" s="1773"/>
      <c r="RVE22" s="1773"/>
      <c r="RVF22" s="1773"/>
      <c r="RVG22" s="1773"/>
      <c r="RVH22" s="1773"/>
      <c r="RVI22" s="1773"/>
      <c r="RVJ22" s="1773"/>
      <c r="RVK22" s="1773"/>
      <c r="RVL22" s="1773"/>
      <c r="RVM22" s="1773"/>
      <c r="RVN22" s="1773"/>
      <c r="RVO22" s="1773"/>
      <c r="RVP22" s="1773"/>
      <c r="RVQ22" s="1773"/>
      <c r="RVR22" s="1773"/>
      <c r="RVS22" s="1773"/>
      <c r="RVT22" s="1773"/>
      <c r="RVU22" s="1773"/>
      <c r="RVV22" s="1773"/>
      <c r="RVW22" s="1773"/>
      <c r="RVX22" s="1773"/>
      <c r="RVY22" s="1773"/>
      <c r="RVZ22" s="1773"/>
      <c r="RWA22" s="1773"/>
      <c r="RWB22" s="1773"/>
      <c r="RWC22" s="1773"/>
      <c r="RWD22" s="1773"/>
      <c r="RWE22" s="1773"/>
      <c r="RWF22" s="1773"/>
      <c r="RWG22" s="1773"/>
      <c r="RWH22" s="1773"/>
      <c r="RWI22" s="1773"/>
      <c r="RWJ22" s="1773"/>
      <c r="RWK22" s="1773"/>
      <c r="RWL22" s="1773"/>
      <c r="RWM22" s="1773"/>
      <c r="RWN22" s="1773"/>
      <c r="RWO22" s="1773"/>
      <c r="RWP22" s="1773"/>
      <c r="RWQ22" s="1773"/>
      <c r="RWR22" s="1773"/>
      <c r="RWS22" s="1773"/>
      <c r="RWT22" s="1773"/>
      <c r="RWU22" s="1773"/>
      <c r="RWV22" s="1773"/>
      <c r="RWW22" s="1773"/>
      <c r="RWX22" s="1773"/>
      <c r="RWY22" s="1773"/>
      <c r="RWZ22" s="1773"/>
      <c r="RXA22" s="1773"/>
      <c r="RXB22" s="1773"/>
      <c r="RXC22" s="1773"/>
      <c r="RXD22" s="1773"/>
      <c r="RXE22" s="1773"/>
      <c r="RXF22" s="1773"/>
      <c r="RXG22" s="1773"/>
      <c r="RXH22" s="1773"/>
      <c r="RXI22" s="1773"/>
      <c r="RXJ22" s="1773"/>
      <c r="RXK22" s="1773"/>
      <c r="RXL22" s="1773"/>
      <c r="RXM22" s="1773"/>
      <c r="RXN22" s="1773"/>
      <c r="RXO22" s="1773"/>
      <c r="RXP22" s="1773"/>
      <c r="RXQ22" s="1773"/>
      <c r="RXR22" s="1773"/>
      <c r="RXS22" s="1773"/>
      <c r="RXT22" s="1773"/>
      <c r="RXU22" s="1773"/>
      <c r="RXV22" s="1773"/>
      <c r="RXW22" s="1773"/>
      <c r="RXX22" s="1773"/>
      <c r="RXY22" s="1773"/>
      <c r="RXZ22" s="1773"/>
      <c r="RYA22" s="1773"/>
      <c r="RYB22" s="1773"/>
      <c r="RYC22" s="1773"/>
      <c r="RYD22" s="1773"/>
      <c r="RYE22" s="1773"/>
      <c r="RYF22" s="1773"/>
      <c r="RYG22" s="1773"/>
      <c r="RYH22" s="1773"/>
      <c r="RYI22" s="1773"/>
      <c r="RYJ22" s="1773"/>
      <c r="RYK22" s="1773"/>
      <c r="RYL22" s="1773"/>
      <c r="RYM22" s="1773"/>
      <c r="RYN22" s="1773"/>
      <c r="RYO22" s="1773"/>
      <c r="RYP22" s="1773"/>
      <c r="RYQ22" s="1773"/>
      <c r="RYR22" s="1773"/>
      <c r="RYS22" s="1773"/>
      <c r="RYT22" s="1773"/>
      <c r="RYU22" s="1773"/>
      <c r="RYV22" s="1773"/>
      <c r="RYW22" s="1773"/>
      <c r="RYX22" s="1773"/>
      <c r="RYY22" s="1773"/>
      <c r="RYZ22" s="1773"/>
      <c r="RZA22" s="1773"/>
      <c r="RZB22" s="1773"/>
      <c r="RZC22" s="1773"/>
      <c r="RZD22" s="1773"/>
      <c r="RZE22" s="1773"/>
      <c r="RZF22" s="1773"/>
      <c r="RZG22" s="1773"/>
      <c r="RZH22" s="1773"/>
      <c r="RZI22" s="1773"/>
      <c r="RZJ22" s="1773"/>
      <c r="RZK22" s="1773"/>
      <c r="RZL22" s="1773"/>
      <c r="RZM22" s="1773"/>
      <c r="RZN22" s="1773"/>
      <c r="RZO22" s="1773"/>
      <c r="RZP22" s="1773"/>
      <c r="RZQ22" s="1773"/>
      <c r="RZR22" s="1773"/>
      <c r="RZS22" s="1773"/>
      <c r="RZT22" s="1773"/>
      <c r="RZU22" s="1773"/>
      <c r="RZV22" s="1773"/>
      <c r="RZW22" s="1773"/>
      <c r="RZX22" s="1773"/>
      <c r="RZY22" s="1773"/>
      <c r="RZZ22" s="1773"/>
      <c r="SAA22" s="1773"/>
      <c r="SAB22" s="1773"/>
      <c r="SAC22" s="1773"/>
      <c r="SAD22" s="1773"/>
      <c r="SAE22" s="1773"/>
      <c r="SAF22" s="1773"/>
      <c r="SAG22" s="1773"/>
      <c r="SAH22" s="1773"/>
      <c r="SAI22" s="1773"/>
      <c r="SAJ22" s="1773"/>
      <c r="SAK22" s="1773"/>
      <c r="SAL22" s="1773"/>
      <c r="SAM22" s="1773"/>
      <c r="SAN22" s="1773"/>
      <c r="SAO22" s="1773"/>
      <c r="SAP22" s="1773"/>
      <c r="SAQ22" s="1773"/>
      <c r="SAR22" s="1773"/>
      <c r="SAS22" s="1773"/>
      <c r="SAT22" s="1773"/>
      <c r="SAU22" s="1773"/>
      <c r="SAV22" s="1773"/>
      <c r="SAW22" s="1773"/>
      <c r="SAX22" s="1773"/>
      <c r="SAY22" s="1773"/>
      <c r="SAZ22" s="1773"/>
      <c r="SBA22" s="1773"/>
      <c r="SBB22" s="1773"/>
      <c r="SBC22" s="1773"/>
      <c r="SBD22" s="1773"/>
      <c r="SBE22" s="1773"/>
      <c r="SBF22" s="1773"/>
      <c r="SBG22" s="1773"/>
      <c r="SBH22" s="1773"/>
      <c r="SBI22" s="1773"/>
      <c r="SBJ22" s="1773"/>
      <c r="SBK22" s="1773"/>
      <c r="SBL22" s="1773"/>
      <c r="SBM22" s="1773"/>
      <c r="SBN22" s="1773"/>
      <c r="SBO22" s="1773"/>
      <c r="SBP22" s="1773"/>
      <c r="SBQ22" s="1773"/>
      <c r="SBR22" s="1773"/>
      <c r="SBS22" s="1773"/>
      <c r="SBT22" s="1773"/>
      <c r="SBU22" s="1773"/>
      <c r="SBV22" s="1773"/>
      <c r="SBW22" s="1773"/>
      <c r="SBX22" s="1773"/>
      <c r="SBY22" s="1773"/>
      <c r="SBZ22" s="1773"/>
      <c r="SCA22" s="1773"/>
      <c r="SCB22" s="1773"/>
      <c r="SCC22" s="1773"/>
      <c r="SCD22" s="1773"/>
      <c r="SCE22" s="1773"/>
      <c r="SCF22" s="1773"/>
      <c r="SCG22" s="1773"/>
      <c r="SCH22" s="1773"/>
      <c r="SCI22" s="1773"/>
      <c r="SCJ22" s="1773"/>
      <c r="SCK22" s="1773"/>
      <c r="SCL22" s="1773"/>
      <c r="SCM22" s="1773"/>
      <c r="SCN22" s="1773"/>
      <c r="SCO22" s="1773"/>
      <c r="SCP22" s="1773"/>
      <c r="SCQ22" s="1773"/>
      <c r="SCR22" s="1773"/>
      <c r="SCS22" s="1773"/>
      <c r="SCT22" s="1773"/>
      <c r="SCU22" s="1773"/>
      <c r="SCV22" s="1773"/>
      <c r="SCW22" s="1773"/>
      <c r="SCX22" s="1773"/>
      <c r="SCY22" s="1773"/>
      <c r="SCZ22" s="1773"/>
      <c r="SDA22" s="1773"/>
      <c r="SDB22" s="1773"/>
      <c r="SDC22" s="1773"/>
      <c r="SDD22" s="1773"/>
      <c r="SDE22" s="1773"/>
      <c r="SDF22" s="1773"/>
      <c r="SDG22" s="1773"/>
      <c r="SDH22" s="1773"/>
      <c r="SDI22" s="1773"/>
      <c r="SDJ22" s="1773"/>
      <c r="SDK22" s="1773"/>
      <c r="SDL22" s="1773"/>
      <c r="SDM22" s="1773"/>
      <c r="SDN22" s="1773"/>
      <c r="SDO22" s="1773"/>
      <c r="SDP22" s="1773"/>
      <c r="SDQ22" s="1773"/>
      <c r="SDR22" s="1773"/>
      <c r="SDS22" s="1773"/>
      <c r="SDT22" s="1773"/>
      <c r="SDU22" s="1773"/>
      <c r="SDV22" s="1773"/>
      <c r="SDW22" s="1773"/>
      <c r="SDX22" s="1773"/>
      <c r="SDY22" s="1773"/>
      <c r="SDZ22" s="1773"/>
      <c r="SEA22" s="1773"/>
      <c r="SEB22" s="1773"/>
      <c r="SEC22" s="1773"/>
      <c r="SED22" s="1773"/>
      <c r="SEE22" s="1773"/>
      <c r="SEF22" s="1773"/>
      <c r="SEG22" s="1773"/>
      <c r="SEH22" s="1773"/>
      <c r="SEI22" s="1773"/>
      <c r="SEJ22" s="1773"/>
      <c r="SEK22" s="1773"/>
      <c r="SEL22" s="1773"/>
      <c r="SEM22" s="1773"/>
      <c r="SEN22" s="1773"/>
      <c r="SEO22" s="1773"/>
      <c r="SEP22" s="1773"/>
      <c r="SEQ22" s="1773"/>
      <c r="SER22" s="1773"/>
      <c r="SES22" s="1773"/>
      <c r="SET22" s="1773"/>
      <c r="SEU22" s="1773"/>
      <c r="SEV22" s="1773"/>
      <c r="SEW22" s="1773"/>
      <c r="SEX22" s="1773"/>
      <c r="SEY22" s="1773"/>
      <c r="SEZ22" s="1773"/>
      <c r="SFA22" s="1773"/>
      <c r="SFB22" s="1773"/>
      <c r="SFC22" s="1773"/>
      <c r="SFD22" s="1773"/>
      <c r="SFE22" s="1773"/>
      <c r="SFF22" s="1773"/>
      <c r="SFG22" s="1773"/>
      <c r="SFH22" s="1773"/>
      <c r="SFI22" s="1773"/>
      <c r="SFJ22" s="1773"/>
      <c r="SFK22" s="1773"/>
      <c r="SFL22" s="1773"/>
      <c r="SFM22" s="1773"/>
      <c r="SFN22" s="1773"/>
      <c r="SFO22" s="1773"/>
      <c r="SFP22" s="1773"/>
      <c r="SFQ22" s="1773"/>
      <c r="SFR22" s="1773"/>
      <c r="SFS22" s="1773"/>
      <c r="SFT22" s="1773"/>
      <c r="SFU22" s="1773"/>
      <c r="SFV22" s="1773"/>
      <c r="SFW22" s="1773"/>
      <c r="SFX22" s="1773"/>
      <c r="SFY22" s="1773"/>
      <c r="SFZ22" s="1773"/>
      <c r="SGA22" s="1773"/>
      <c r="SGB22" s="1773"/>
      <c r="SGC22" s="1773"/>
      <c r="SGD22" s="1773"/>
      <c r="SGE22" s="1773"/>
      <c r="SGF22" s="1773"/>
      <c r="SGG22" s="1773"/>
      <c r="SGH22" s="1773"/>
      <c r="SGI22" s="1773"/>
      <c r="SGJ22" s="1773"/>
      <c r="SGK22" s="1773"/>
      <c r="SGL22" s="1773"/>
      <c r="SGM22" s="1773"/>
      <c r="SGN22" s="1773"/>
      <c r="SGO22" s="1773"/>
      <c r="SGP22" s="1773"/>
      <c r="SGQ22" s="1773"/>
      <c r="SGR22" s="1773"/>
      <c r="SGS22" s="1773"/>
      <c r="SGT22" s="1773"/>
      <c r="SGU22" s="1773"/>
      <c r="SGV22" s="1773"/>
      <c r="SGW22" s="1773"/>
      <c r="SGX22" s="1773"/>
      <c r="SGY22" s="1773"/>
      <c r="SGZ22" s="1773"/>
      <c r="SHA22" s="1773"/>
      <c r="SHB22" s="1773"/>
      <c r="SHC22" s="1773"/>
      <c r="SHD22" s="1773"/>
      <c r="SHE22" s="1773"/>
      <c r="SHF22" s="1773"/>
      <c r="SHG22" s="1773"/>
      <c r="SHH22" s="1773"/>
      <c r="SHI22" s="1773"/>
      <c r="SHJ22" s="1773"/>
      <c r="SHK22" s="1773"/>
      <c r="SHL22" s="1773"/>
      <c r="SHM22" s="1773"/>
      <c r="SHN22" s="1773"/>
      <c r="SHO22" s="1773"/>
      <c r="SHP22" s="1773"/>
      <c r="SHQ22" s="1773"/>
      <c r="SHR22" s="1773"/>
      <c r="SHS22" s="1773"/>
      <c r="SHT22" s="1773"/>
      <c r="SHU22" s="1773"/>
      <c r="SHV22" s="1773"/>
      <c r="SHW22" s="1773"/>
      <c r="SHX22" s="1773"/>
      <c r="SHY22" s="1773"/>
      <c r="SHZ22" s="1773"/>
      <c r="SIA22" s="1773"/>
      <c r="SIB22" s="1773"/>
      <c r="SIC22" s="1773"/>
      <c r="SID22" s="1773"/>
      <c r="SIE22" s="1773"/>
      <c r="SIF22" s="1773"/>
      <c r="SIG22" s="1773"/>
      <c r="SIH22" s="1773"/>
      <c r="SII22" s="1773"/>
      <c r="SIJ22" s="1773"/>
      <c r="SIK22" s="1773"/>
      <c r="SIL22" s="1773"/>
      <c r="SIM22" s="1773"/>
      <c r="SIN22" s="1773"/>
      <c r="SIO22" s="1773"/>
      <c r="SIP22" s="1773"/>
      <c r="SIQ22" s="1773"/>
      <c r="SIR22" s="1773"/>
      <c r="SIS22" s="1773"/>
      <c r="SIT22" s="1773"/>
      <c r="SIU22" s="1773"/>
      <c r="SIV22" s="1773"/>
      <c r="SIW22" s="1773"/>
      <c r="SIX22" s="1773"/>
      <c r="SIY22" s="1773"/>
      <c r="SIZ22" s="1773"/>
      <c r="SJA22" s="1773"/>
      <c r="SJB22" s="1773"/>
      <c r="SJC22" s="1773"/>
      <c r="SJD22" s="1773"/>
      <c r="SJE22" s="1773"/>
      <c r="SJF22" s="1773"/>
      <c r="SJG22" s="1773"/>
      <c r="SJH22" s="1773"/>
      <c r="SJI22" s="1773"/>
      <c r="SJJ22" s="1773"/>
      <c r="SJK22" s="1773"/>
      <c r="SJL22" s="1773"/>
      <c r="SJM22" s="1773"/>
      <c r="SJN22" s="1773"/>
      <c r="SJO22" s="1773"/>
      <c r="SJP22" s="1773"/>
      <c r="SJQ22" s="1773"/>
      <c r="SJR22" s="1773"/>
      <c r="SJS22" s="1773"/>
      <c r="SJT22" s="1773"/>
      <c r="SJU22" s="1773"/>
      <c r="SJV22" s="1773"/>
      <c r="SJW22" s="1773"/>
      <c r="SJX22" s="1773"/>
      <c r="SJY22" s="1773"/>
      <c r="SJZ22" s="1773"/>
      <c r="SKA22" s="1773"/>
      <c r="SKB22" s="1773"/>
      <c r="SKC22" s="1773"/>
      <c r="SKD22" s="1773"/>
      <c r="SKE22" s="1773"/>
      <c r="SKF22" s="1773"/>
      <c r="SKG22" s="1773"/>
      <c r="SKH22" s="1773"/>
      <c r="SKI22" s="1773"/>
      <c r="SKJ22" s="1773"/>
      <c r="SKK22" s="1773"/>
      <c r="SKL22" s="1773"/>
      <c r="SKM22" s="1773"/>
      <c r="SKN22" s="1773"/>
      <c r="SKO22" s="1773"/>
      <c r="SKP22" s="1773"/>
      <c r="SKQ22" s="1773"/>
      <c r="SKR22" s="1773"/>
      <c r="SKS22" s="1773"/>
      <c r="SKT22" s="1773"/>
      <c r="SKU22" s="1773"/>
      <c r="SKV22" s="1773"/>
      <c r="SKW22" s="1773"/>
      <c r="SKX22" s="1773"/>
      <c r="SKY22" s="1773"/>
      <c r="SKZ22" s="1773"/>
      <c r="SLA22" s="1773"/>
      <c r="SLB22" s="1773"/>
      <c r="SLC22" s="1773"/>
      <c r="SLD22" s="1773"/>
      <c r="SLE22" s="1773"/>
      <c r="SLF22" s="1773"/>
      <c r="SLG22" s="1773"/>
      <c r="SLH22" s="1773"/>
      <c r="SLI22" s="1773"/>
      <c r="SLJ22" s="1773"/>
      <c r="SLK22" s="1773"/>
      <c r="SLL22" s="1773"/>
      <c r="SLM22" s="1773"/>
      <c r="SLN22" s="1773"/>
      <c r="SLO22" s="1773"/>
      <c r="SLP22" s="1773"/>
      <c r="SLQ22" s="1773"/>
      <c r="SLR22" s="1773"/>
      <c r="SLS22" s="1773"/>
      <c r="SLT22" s="1773"/>
      <c r="SLU22" s="1773"/>
      <c r="SLV22" s="1773"/>
      <c r="SLW22" s="1773"/>
      <c r="SLX22" s="1773"/>
      <c r="SLY22" s="1773"/>
      <c r="SLZ22" s="1773"/>
      <c r="SMA22" s="1773"/>
      <c r="SMB22" s="1773"/>
      <c r="SMC22" s="1773"/>
      <c r="SMD22" s="1773"/>
      <c r="SME22" s="1773"/>
      <c r="SMF22" s="1773"/>
      <c r="SMG22" s="1773"/>
      <c r="SMH22" s="1773"/>
      <c r="SMI22" s="1773"/>
      <c r="SMJ22" s="1773"/>
      <c r="SMK22" s="1773"/>
      <c r="SML22" s="1773"/>
      <c r="SMM22" s="1773"/>
      <c r="SMN22" s="1773"/>
      <c r="SMO22" s="1773"/>
      <c r="SMP22" s="1773"/>
      <c r="SMQ22" s="1773"/>
      <c r="SMR22" s="1773"/>
      <c r="SMS22" s="1773"/>
      <c r="SMT22" s="1773"/>
      <c r="SMU22" s="1773"/>
      <c r="SMV22" s="1773"/>
      <c r="SMW22" s="1773"/>
      <c r="SMX22" s="1773"/>
      <c r="SMY22" s="1773"/>
      <c r="SMZ22" s="1773"/>
      <c r="SNA22" s="1773"/>
      <c r="SNB22" s="1773"/>
      <c r="SNC22" s="1773"/>
      <c r="SND22" s="1773"/>
      <c r="SNE22" s="1773"/>
      <c r="SNF22" s="1773"/>
      <c r="SNG22" s="1773"/>
      <c r="SNH22" s="1773"/>
      <c r="SNI22" s="1773"/>
      <c r="SNJ22" s="1773"/>
      <c r="SNK22" s="1773"/>
      <c r="SNL22" s="1773"/>
      <c r="SNM22" s="1773"/>
      <c r="SNN22" s="1773"/>
      <c r="SNO22" s="1773"/>
      <c r="SNP22" s="1773"/>
      <c r="SNQ22" s="1773"/>
      <c r="SNR22" s="1773"/>
      <c r="SNS22" s="1773"/>
      <c r="SNT22" s="1773"/>
      <c r="SNU22" s="1773"/>
      <c r="SNV22" s="1773"/>
      <c r="SNW22" s="1773"/>
      <c r="SNX22" s="1773"/>
      <c r="SNY22" s="1773"/>
      <c r="SNZ22" s="1773"/>
      <c r="SOA22" s="1773"/>
      <c r="SOB22" s="1773"/>
      <c r="SOC22" s="1773"/>
      <c r="SOD22" s="1773"/>
      <c r="SOE22" s="1773"/>
      <c r="SOF22" s="1773"/>
      <c r="SOG22" s="1773"/>
      <c r="SOH22" s="1773"/>
      <c r="SOI22" s="1773"/>
      <c r="SOJ22" s="1773"/>
      <c r="SOK22" s="1773"/>
      <c r="SOL22" s="1773"/>
      <c r="SOM22" s="1773"/>
      <c r="SON22" s="1773"/>
      <c r="SOO22" s="1773"/>
      <c r="SOP22" s="1773"/>
      <c r="SOQ22" s="1773"/>
      <c r="SOR22" s="1773"/>
      <c r="SOS22" s="1773"/>
      <c r="SOT22" s="1773"/>
      <c r="SOU22" s="1773"/>
      <c r="SOV22" s="1773"/>
      <c r="SOW22" s="1773"/>
      <c r="SOX22" s="1773"/>
      <c r="SOY22" s="1773"/>
      <c r="SOZ22" s="1773"/>
      <c r="SPA22" s="1773"/>
      <c r="SPB22" s="1773"/>
      <c r="SPC22" s="1773"/>
      <c r="SPD22" s="1773"/>
      <c r="SPE22" s="1773"/>
      <c r="SPF22" s="1773"/>
      <c r="SPG22" s="1773"/>
      <c r="SPH22" s="1773"/>
      <c r="SPI22" s="1773"/>
      <c r="SPJ22" s="1773"/>
      <c r="SPK22" s="1773"/>
      <c r="SPL22" s="1773"/>
      <c r="SPM22" s="1773"/>
      <c r="SPN22" s="1773"/>
      <c r="SPO22" s="1773"/>
      <c r="SPP22" s="1773"/>
      <c r="SPQ22" s="1773"/>
      <c r="SPR22" s="1773"/>
      <c r="SPS22" s="1773"/>
      <c r="SPT22" s="1773"/>
      <c r="SPU22" s="1773"/>
      <c r="SPV22" s="1773"/>
      <c r="SPW22" s="1773"/>
      <c r="SPX22" s="1773"/>
      <c r="SPY22" s="1773"/>
      <c r="SPZ22" s="1773"/>
      <c r="SQA22" s="1773"/>
      <c r="SQB22" s="1773"/>
      <c r="SQC22" s="1773"/>
      <c r="SQD22" s="1773"/>
      <c r="SQE22" s="1773"/>
      <c r="SQF22" s="1773"/>
      <c r="SQG22" s="1773"/>
      <c r="SQH22" s="1773"/>
      <c r="SQI22" s="1773"/>
      <c r="SQJ22" s="1773"/>
      <c r="SQK22" s="1773"/>
      <c r="SQL22" s="1773"/>
      <c r="SQM22" s="1773"/>
      <c r="SQN22" s="1773"/>
      <c r="SQO22" s="1773"/>
      <c r="SQP22" s="1773"/>
      <c r="SQQ22" s="1773"/>
      <c r="SQR22" s="1773"/>
      <c r="SQS22" s="1773"/>
      <c r="SQT22" s="1773"/>
      <c r="SQU22" s="1773"/>
      <c r="SQV22" s="1773"/>
      <c r="SQW22" s="1773"/>
      <c r="SQX22" s="1773"/>
      <c r="SQY22" s="1773"/>
      <c r="SQZ22" s="1773"/>
      <c r="SRA22" s="1773"/>
      <c r="SRB22" s="1773"/>
      <c r="SRC22" s="1773"/>
      <c r="SRD22" s="1773"/>
      <c r="SRE22" s="1773"/>
      <c r="SRF22" s="1773"/>
      <c r="SRG22" s="1773"/>
      <c r="SRH22" s="1773"/>
      <c r="SRI22" s="1773"/>
      <c r="SRJ22" s="1773"/>
      <c r="SRK22" s="1773"/>
      <c r="SRL22" s="1773"/>
      <c r="SRM22" s="1773"/>
      <c r="SRN22" s="1773"/>
      <c r="SRO22" s="1773"/>
      <c r="SRP22" s="1773"/>
      <c r="SRQ22" s="1773"/>
      <c r="SRR22" s="1773"/>
      <c r="SRS22" s="1773"/>
      <c r="SRT22" s="1773"/>
      <c r="SRU22" s="1773"/>
      <c r="SRV22" s="1773"/>
      <c r="SRW22" s="1773"/>
      <c r="SRX22" s="1773"/>
      <c r="SRY22" s="1773"/>
      <c r="SRZ22" s="1773"/>
      <c r="SSA22" s="1773"/>
      <c r="SSB22" s="1773"/>
      <c r="SSC22" s="1773"/>
      <c r="SSD22" s="1773"/>
      <c r="SSE22" s="1773"/>
      <c r="SSF22" s="1773"/>
      <c r="SSG22" s="1773"/>
      <c r="SSH22" s="1773"/>
      <c r="SSI22" s="1773"/>
      <c r="SSJ22" s="1773"/>
      <c r="SSK22" s="1773"/>
      <c r="SSL22" s="1773"/>
      <c r="SSM22" s="1773"/>
      <c r="SSN22" s="1773"/>
      <c r="SSO22" s="1773"/>
      <c r="SSP22" s="1773"/>
      <c r="SSQ22" s="1773"/>
      <c r="SSR22" s="1773"/>
      <c r="SSS22" s="1773"/>
      <c r="SST22" s="1773"/>
      <c r="SSU22" s="1773"/>
      <c r="SSV22" s="1773"/>
      <c r="SSW22" s="1773"/>
      <c r="SSX22" s="1773"/>
      <c r="SSY22" s="1773"/>
      <c r="SSZ22" s="1773"/>
      <c r="STA22" s="1773"/>
      <c r="STB22" s="1773"/>
      <c r="STC22" s="1773"/>
      <c r="STD22" s="1773"/>
      <c r="STE22" s="1773"/>
      <c r="STF22" s="1773"/>
      <c r="STG22" s="1773"/>
      <c r="STH22" s="1773"/>
      <c r="STI22" s="1773"/>
      <c r="STJ22" s="1773"/>
      <c r="STK22" s="1773"/>
      <c r="STL22" s="1773"/>
      <c r="STM22" s="1773"/>
      <c r="STN22" s="1773"/>
      <c r="STO22" s="1773"/>
      <c r="STP22" s="1773"/>
      <c r="STQ22" s="1773"/>
      <c r="STR22" s="1773"/>
      <c r="STS22" s="1773"/>
      <c r="STT22" s="1773"/>
      <c r="STU22" s="1773"/>
      <c r="STV22" s="1773"/>
      <c r="STW22" s="1773"/>
      <c r="STX22" s="1773"/>
      <c r="STY22" s="1773"/>
      <c r="STZ22" s="1773"/>
      <c r="SUA22" s="1773"/>
      <c r="SUB22" s="1773"/>
      <c r="SUC22" s="1773"/>
      <c r="SUD22" s="1773"/>
      <c r="SUE22" s="1773"/>
      <c r="SUF22" s="1773"/>
      <c r="SUG22" s="1773"/>
      <c r="SUH22" s="1773"/>
      <c r="SUI22" s="1773"/>
      <c r="SUJ22" s="1773"/>
      <c r="SUK22" s="1773"/>
      <c r="SUL22" s="1773"/>
      <c r="SUM22" s="1773"/>
      <c r="SUN22" s="1773"/>
      <c r="SUO22" s="1773"/>
      <c r="SUP22" s="1773"/>
      <c r="SUQ22" s="1773"/>
      <c r="SUR22" s="1773"/>
      <c r="SUS22" s="1773"/>
      <c r="SUT22" s="1773"/>
      <c r="SUU22" s="1773"/>
      <c r="SUV22" s="1773"/>
      <c r="SUW22" s="1773"/>
      <c r="SUX22" s="1773"/>
      <c r="SUY22" s="1773"/>
      <c r="SUZ22" s="1773"/>
      <c r="SVA22" s="1773"/>
      <c r="SVB22" s="1773"/>
      <c r="SVC22" s="1773"/>
      <c r="SVD22" s="1773"/>
      <c r="SVE22" s="1773"/>
      <c r="SVF22" s="1773"/>
      <c r="SVG22" s="1773"/>
      <c r="SVH22" s="1773"/>
      <c r="SVI22" s="1773"/>
      <c r="SVJ22" s="1773"/>
      <c r="SVK22" s="1773"/>
      <c r="SVL22" s="1773"/>
      <c r="SVM22" s="1773"/>
      <c r="SVN22" s="1773"/>
      <c r="SVO22" s="1773"/>
      <c r="SVP22" s="1773"/>
      <c r="SVQ22" s="1773"/>
      <c r="SVR22" s="1773"/>
      <c r="SVS22" s="1773"/>
      <c r="SVT22" s="1773"/>
      <c r="SVU22" s="1773"/>
      <c r="SVV22" s="1773"/>
      <c r="SVW22" s="1773"/>
      <c r="SVX22" s="1773"/>
      <c r="SVY22" s="1773"/>
      <c r="SVZ22" s="1773"/>
      <c r="SWA22" s="1773"/>
      <c r="SWB22" s="1773"/>
      <c r="SWC22" s="1773"/>
      <c r="SWD22" s="1773"/>
      <c r="SWE22" s="1773"/>
      <c r="SWF22" s="1773"/>
      <c r="SWG22" s="1773"/>
      <c r="SWH22" s="1773"/>
      <c r="SWI22" s="1773"/>
      <c r="SWJ22" s="1773"/>
      <c r="SWK22" s="1773"/>
      <c r="SWL22" s="1773"/>
      <c r="SWM22" s="1773"/>
      <c r="SWN22" s="1773"/>
      <c r="SWO22" s="1773"/>
      <c r="SWP22" s="1773"/>
      <c r="SWQ22" s="1773"/>
      <c r="SWR22" s="1773"/>
      <c r="SWS22" s="1773"/>
      <c r="SWT22" s="1773"/>
      <c r="SWU22" s="1773"/>
      <c r="SWV22" s="1773"/>
      <c r="SWW22" s="1773"/>
      <c r="SWX22" s="1773"/>
      <c r="SWY22" s="1773"/>
      <c r="SWZ22" s="1773"/>
      <c r="SXA22" s="1773"/>
      <c r="SXB22" s="1773"/>
      <c r="SXC22" s="1773"/>
      <c r="SXD22" s="1773"/>
      <c r="SXE22" s="1773"/>
      <c r="SXF22" s="1773"/>
      <c r="SXG22" s="1773"/>
      <c r="SXH22" s="1773"/>
      <c r="SXI22" s="1773"/>
      <c r="SXJ22" s="1773"/>
      <c r="SXK22" s="1773"/>
      <c r="SXL22" s="1773"/>
      <c r="SXM22" s="1773"/>
      <c r="SXN22" s="1773"/>
      <c r="SXO22" s="1773"/>
      <c r="SXP22" s="1773"/>
      <c r="SXQ22" s="1773"/>
      <c r="SXR22" s="1773"/>
      <c r="SXS22" s="1773"/>
      <c r="SXT22" s="1773"/>
      <c r="SXU22" s="1773"/>
      <c r="SXV22" s="1773"/>
      <c r="SXW22" s="1773"/>
      <c r="SXX22" s="1773"/>
      <c r="SXY22" s="1773"/>
      <c r="SXZ22" s="1773"/>
      <c r="SYA22" s="1773"/>
      <c r="SYB22" s="1773"/>
      <c r="SYC22" s="1773"/>
      <c r="SYD22" s="1773"/>
      <c r="SYE22" s="1773"/>
      <c r="SYF22" s="1773"/>
      <c r="SYG22" s="1773"/>
      <c r="SYH22" s="1773"/>
      <c r="SYI22" s="1773"/>
      <c r="SYJ22" s="1773"/>
      <c r="SYK22" s="1773"/>
      <c r="SYL22" s="1773"/>
      <c r="SYM22" s="1773"/>
      <c r="SYN22" s="1773"/>
      <c r="SYO22" s="1773"/>
      <c r="SYP22" s="1773"/>
      <c r="SYQ22" s="1773"/>
      <c r="SYR22" s="1773"/>
      <c r="SYS22" s="1773"/>
      <c r="SYT22" s="1773"/>
      <c r="SYU22" s="1773"/>
      <c r="SYV22" s="1773"/>
      <c r="SYW22" s="1773"/>
      <c r="SYX22" s="1773"/>
      <c r="SYY22" s="1773"/>
      <c r="SYZ22" s="1773"/>
      <c r="SZA22" s="1773"/>
      <c r="SZB22" s="1773"/>
      <c r="SZC22" s="1773"/>
      <c r="SZD22" s="1773"/>
      <c r="SZE22" s="1773"/>
      <c r="SZF22" s="1773"/>
      <c r="SZG22" s="1773"/>
      <c r="SZH22" s="1773"/>
      <c r="SZI22" s="1773"/>
      <c r="SZJ22" s="1773"/>
      <c r="SZK22" s="1773"/>
      <c r="SZL22" s="1773"/>
      <c r="SZM22" s="1773"/>
      <c r="SZN22" s="1773"/>
      <c r="SZO22" s="1773"/>
      <c r="SZP22" s="1773"/>
      <c r="SZQ22" s="1773"/>
      <c r="SZR22" s="1773"/>
      <c r="SZS22" s="1773"/>
      <c r="SZT22" s="1773"/>
      <c r="SZU22" s="1773"/>
      <c r="SZV22" s="1773"/>
      <c r="SZW22" s="1773"/>
      <c r="SZX22" s="1773"/>
      <c r="SZY22" s="1773"/>
      <c r="SZZ22" s="1773"/>
      <c r="TAA22" s="1773"/>
      <c r="TAB22" s="1773"/>
      <c r="TAC22" s="1773"/>
      <c r="TAD22" s="1773"/>
      <c r="TAE22" s="1773"/>
      <c r="TAF22" s="1773"/>
      <c r="TAG22" s="1773"/>
      <c r="TAH22" s="1773"/>
      <c r="TAI22" s="1773"/>
      <c r="TAJ22" s="1773"/>
      <c r="TAK22" s="1773"/>
      <c r="TAL22" s="1773"/>
      <c r="TAM22" s="1773"/>
      <c r="TAN22" s="1773"/>
      <c r="TAO22" s="1773"/>
      <c r="TAP22" s="1773"/>
      <c r="TAQ22" s="1773"/>
      <c r="TAR22" s="1773"/>
      <c r="TAS22" s="1773"/>
      <c r="TAT22" s="1773"/>
      <c r="TAU22" s="1773"/>
      <c r="TAV22" s="1773"/>
      <c r="TAW22" s="1773"/>
      <c r="TAX22" s="1773"/>
      <c r="TAY22" s="1773"/>
      <c r="TAZ22" s="1773"/>
      <c r="TBA22" s="1773"/>
      <c r="TBB22" s="1773"/>
      <c r="TBC22" s="1773"/>
      <c r="TBD22" s="1773"/>
      <c r="TBE22" s="1773"/>
      <c r="TBF22" s="1773"/>
      <c r="TBG22" s="1773"/>
      <c r="TBH22" s="1773"/>
      <c r="TBI22" s="1773"/>
      <c r="TBJ22" s="1773"/>
      <c r="TBK22" s="1773"/>
      <c r="TBL22" s="1773"/>
      <c r="TBM22" s="1773"/>
      <c r="TBN22" s="1773"/>
      <c r="TBO22" s="1773"/>
      <c r="TBP22" s="1773"/>
      <c r="TBQ22" s="1773"/>
      <c r="TBR22" s="1773"/>
      <c r="TBS22" s="1773"/>
      <c r="TBT22" s="1773"/>
      <c r="TBU22" s="1773"/>
      <c r="TBV22" s="1773"/>
      <c r="TBW22" s="1773"/>
      <c r="TBX22" s="1773"/>
      <c r="TBY22" s="1773"/>
      <c r="TBZ22" s="1773"/>
      <c r="TCA22" s="1773"/>
      <c r="TCB22" s="1773"/>
      <c r="TCC22" s="1773"/>
      <c r="TCD22" s="1773"/>
      <c r="TCE22" s="1773"/>
      <c r="TCF22" s="1773"/>
      <c r="TCG22" s="1773"/>
      <c r="TCH22" s="1773"/>
      <c r="TCI22" s="1773"/>
      <c r="TCJ22" s="1773"/>
      <c r="TCK22" s="1773"/>
      <c r="TCL22" s="1773"/>
      <c r="TCM22" s="1773"/>
      <c r="TCN22" s="1773"/>
      <c r="TCO22" s="1773"/>
      <c r="TCP22" s="1773"/>
      <c r="TCQ22" s="1773"/>
      <c r="TCR22" s="1773"/>
      <c r="TCS22" s="1773"/>
      <c r="TCT22" s="1773"/>
      <c r="TCU22" s="1773"/>
      <c r="TCV22" s="1773"/>
      <c r="TCW22" s="1773"/>
      <c r="TCX22" s="1773"/>
      <c r="TCY22" s="1773"/>
      <c r="TCZ22" s="1773"/>
      <c r="TDA22" s="1773"/>
      <c r="TDB22" s="1773"/>
      <c r="TDC22" s="1773"/>
      <c r="TDD22" s="1773"/>
      <c r="TDE22" s="1773"/>
      <c r="TDF22" s="1773"/>
      <c r="TDG22" s="1773"/>
      <c r="TDH22" s="1773"/>
      <c r="TDI22" s="1773"/>
      <c r="TDJ22" s="1773"/>
      <c r="TDK22" s="1773"/>
      <c r="TDL22" s="1773"/>
      <c r="TDM22" s="1773"/>
      <c r="TDN22" s="1773"/>
      <c r="TDO22" s="1773"/>
      <c r="TDP22" s="1773"/>
      <c r="TDQ22" s="1773"/>
      <c r="TDR22" s="1773"/>
      <c r="TDS22" s="1773"/>
      <c r="TDT22" s="1773"/>
      <c r="TDU22" s="1773"/>
      <c r="TDV22" s="1773"/>
      <c r="TDW22" s="1773"/>
      <c r="TDX22" s="1773"/>
      <c r="TDY22" s="1773"/>
      <c r="TDZ22" s="1773"/>
      <c r="TEA22" s="1773"/>
      <c r="TEB22" s="1773"/>
      <c r="TEC22" s="1773"/>
      <c r="TED22" s="1773"/>
      <c r="TEE22" s="1773"/>
      <c r="TEF22" s="1773"/>
      <c r="TEG22" s="1773"/>
      <c r="TEH22" s="1773"/>
      <c r="TEI22" s="1773"/>
      <c r="TEJ22" s="1773"/>
      <c r="TEK22" s="1773"/>
      <c r="TEL22" s="1773"/>
      <c r="TEM22" s="1773"/>
      <c r="TEN22" s="1773"/>
      <c r="TEO22" s="1773"/>
      <c r="TEP22" s="1773"/>
      <c r="TEQ22" s="1773"/>
      <c r="TER22" s="1773"/>
      <c r="TES22" s="1773"/>
      <c r="TET22" s="1773"/>
      <c r="TEU22" s="1773"/>
      <c r="TEV22" s="1773"/>
      <c r="TEW22" s="1773"/>
      <c r="TEX22" s="1773"/>
      <c r="TEY22" s="1773"/>
      <c r="TEZ22" s="1773"/>
      <c r="TFA22" s="1773"/>
      <c r="TFB22" s="1773"/>
      <c r="TFC22" s="1773"/>
      <c r="TFD22" s="1773"/>
      <c r="TFE22" s="1773"/>
      <c r="TFF22" s="1773"/>
      <c r="TFG22" s="1773"/>
      <c r="TFH22" s="1773"/>
      <c r="TFI22" s="1773"/>
      <c r="TFJ22" s="1773"/>
      <c r="TFK22" s="1773"/>
      <c r="TFL22" s="1773"/>
      <c r="TFM22" s="1773"/>
      <c r="TFN22" s="1773"/>
      <c r="TFO22" s="1773"/>
      <c r="TFP22" s="1773"/>
      <c r="TFQ22" s="1773"/>
      <c r="TFR22" s="1773"/>
      <c r="TFS22" s="1773"/>
      <c r="TFT22" s="1773"/>
      <c r="TFU22" s="1773"/>
      <c r="TFV22" s="1773"/>
      <c r="TFW22" s="1773"/>
      <c r="TFX22" s="1773"/>
      <c r="TFY22" s="1773"/>
      <c r="TFZ22" s="1773"/>
      <c r="TGA22" s="1773"/>
      <c r="TGB22" s="1773"/>
      <c r="TGC22" s="1773"/>
      <c r="TGD22" s="1773"/>
      <c r="TGE22" s="1773"/>
      <c r="TGF22" s="1773"/>
      <c r="TGG22" s="1773"/>
      <c r="TGH22" s="1773"/>
      <c r="TGI22" s="1773"/>
      <c r="TGJ22" s="1773"/>
      <c r="TGK22" s="1773"/>
      <c r="TGL22" s="1773"/>
      <c r="TGM22" s="1773"/>
      <c r="TGN22" s="1773"/>
      <c r="TGO22" s="1773"/>
      <c r="TGP22" s="1773"/>
      <c r="TGQ22" s="1773"/>
      <c r="TGR22" s="1773"/>
      <c r="TGS22" s="1773"/>
      <c r="TGT22" s="1773"/>
      <c r="TGU22" s="1773"/>
      <c r="TGV22" s="1773"/>
      <c r="TGW22" s="1773"/>
      <c r="TGX22" s="1773"/>
      <c r="TGY22" s="1773"/>
      <c r="TGZ22" s="1773"/>
      <c r="THA22" s="1773"/>
      <c r="THB22" s="1773"/>
      <c r="THC22" s="1773"/>
      <c r="THD22" s="1773"/>
      <c r="THE22" s="1773"/>
      <c r="THF22" s="1773"/>
      <c r="THG22" s="1773"/>
      <c r="THH22" s="1773"/>
      <c r="THI22" s="1773"/>
      <c r="THJ22" s="1773"/>
      <c r="THK22" s="1773"/>
      <c r="THL22" s="1773"/>
      <c r="THM22" s="1773"/>
      <c r="THN22" s="1773"/>
      <c r="THO22" s="1773"/>
      <c r="THP22" s="1773"/>
      <c r="THQ22" s="1773"/>
      <c r="THR22" s="1773"/>
      <c r="THS22" s="1773"/>
      <c r="THT22" s="1773"/>
      <c r="THU22" s="1773"/>
      <c r="THV22" s="1773"/>
      <c r="THW22" s="1773"/>
      <c r="THX22" s="1773"/>
      <c r="THY22" s="1773"/>
      <c r="THZ22" s="1773"/>
      <c r="TIA22" s="1773"/>
      <c r="TIB22" s="1773"/>
      <c r="TIC22" s="1773"/>
      <c r="TID22" s="1773"/>
      <c r="TIE22" s="1773"/>
      <c r="TIF22" s="1773"/>
      <c r="TIG22" s="1773"/>
      <c r="TIH22" s="1773"/>
      <c r="TII22" s="1773"/>
      <c r="TIJ22" s="1773"/>
      <c r="TIK22" s="1773"/>
      <c r="TIL22" s="1773"/>
      <c r="TIM22" s="1773"/>
      <c r="TIN22" s="1773"/>
      <c r="TIO22" s="1773"/>
      <c r="TIP22" s="1773"/>
      <c r="TIQ22" s="1773"/>
      <c r="TIR22" s="1773"/>
      <c r="TIS22" s="1773"/>
      <c r="TIT22" s="1773"/>
      <c r="TIU22" s="1773"/>
      <c r="TIV22" s="1773"/>
      <c r="TIW22" s="1773"/>
      <c r="TIX22" s="1773"/>
      <c r="TIY22" s="1773"/>
      <c r="TIZ22" s="1773"/>
      <c r="TJA22" s="1773"/>
      <c r="TJB22" s="1773"/>
      <c r="TJC22" s="1773"/>
      <c r="TJD22" s="1773"/>
      <c r="TJE22" s="1773"/>
      <c r="TJF22" s="1773"/>
      <c r="TJG22" s="1773"/>
      <c r="TJH22" s="1773"/>
      <c r="TJI22" s="1773"/>
      <c r="TJJ22" s="1773"/>
      <c r="TJK22" s="1773"/>
      <c r="TJL22" s="1773"/>
      <c r="TJM22" s="1773"/>
      <c r="TJN22" s="1773"/>
      <c r="TJO22" s="1773"/>
      <c r="TJP22" s="1773"/>
      <c r="TJQ22" s="1773"/>
      <c r="TJR22" s="1773"/>
      <c r="TJS22" s="1773"/>
      <c r="TJT22" s="1773"/>
      <c r="TJU22" s="1773"/>
      <c r="TJV22" s="1773"/>
      <c r="TJW22" s="1773"/>
      <c r="TJX22" s="1773"/>
      <c r="TJY22" s="1773"/>
      <c r="TJZ22" s="1773"/>
      <c r="TKA22" s="1773"/>
      <c r="TKB22" s="1773"/>
      <c r="TKC22" s="1773"/>
      <c r="TKD22" s="1773"/>
      <c r="TKE22" s="1773"/>
      <c r="TKF22" s="1773"/>
      <c r="TKG22" s="1773"/>
      <c r="TKH22" s="1773"/>
      <c r="TKI22" s="1773"/>
      <c r="TKJ22" s="1773"/>
      <c r="TKK22" s="1773"/>
      <c r="TKL22" s="1773"/>
      <c r="TKM22" s="1773"/>
      <c r="TKN22" s="1773"/>
      <c r="TKO22" s="1773"/>
      <c r="TKP22" s="1773"/>
      <c r="TKQ22" s="1773"/>
      <c r="TKR22" s="1773"/>
      <c r="TKS22" s="1773"/>
      <c r="TKT22" s="1773"/>
      <c r="TKU22" s="1773"/>
      <c r="TKV22" s="1773"/>
      <c r="TKW22" s="1773"/>
      <c r="TKX22" s="1773"/>
      <c r="TKY22" s="1773"/>
      <c r="TKZ22" s="1773"/>
      <c r="TLA22" s="1773"/>
      <c r="TLB22" s="1773"/>
      <c r="TLC22" s="1773"/>
      <c r="TLD22" s="1773"/>
      <c r="TLE22" s="1773"/>
      <c r="TLF22" s="1773"/>
      <c r="TLG22" s="1773"/>
      <c r="TLH22" s="1773"/>
      <c r="TLI22" s="1773"/>
      <c r="TLJ22" s="1773"/>
      <c r="TLK22" s="1773"/>
      <c r="TLL22" s="1773"/>
      <c r="TLM22" s="1773"/>
      <c r="TLN22" s="1773"/>
      <c r="TLO22" s="1773"/>
      <c r="TLP22" s="1773"/>
      <c r="TLQ22" s="1773"/>
      <c r="TLR22" s="1773"/>
      <c r="TLS22" s="1773"/>
      <c r="TLT22" s="1773"/>
      <c r="TLU22" s="1773"/>
      <c r="TLV22" s="1773"/>
      <c r="TLW22" s="1773"/>
      <c r="TLX22" s="1773"/>
      <c r="TLY22" s="1773"/>
      <c r="TLZ22" s="1773"/>
      <c r="TMA22" s="1773"/>
      <c r="TMB22" s="1773"/>
      <c r="TMC22" s="1773"/>
      <c r="TMD22" s="1773"/>
      <c r="TME22" s="1773"/>
      <c r="TMF22" s="1773"/>
      <c r="TMG22" s="1773"/>
      <c r="TMH22" s="1773"/>
      <c r="TMI22" s="1773"/>
      <c r="TMJ22" s="1773"/>
      <c r="TMK22" s="1773"/>
      <c r="TML22" s="1773"/>
      <c r="TMM22" s="1773"/>
      <c r="TMN22" s="1773"/>
      <c r="TMO22" s="1773"/>
      <c r="TMP22" s="1773"/>
      <c r="TMQ22" s="1773"/>
      <c r="TMR22" s="1773"/>
      <c r="TMS22" s="1773"/>
      <c r="TMT22" s="1773"/>
      <c r="TMU22" s="1773"/>
      <c r="TMV22" s="1773"/>
      <c r="TMW22" s="1773"/>
      <c r="TMX22" s="1773"/>
      <c r="TMY22" s="1773"/>
      <c r="TMZ22" s="1773"/>
      <c r="TNA22" s="1773"/>
      <c r="TNB22" s="1773"/>
      <c r="TNC22" s="1773"/>
      <c r="TND22" s="1773"/>
      <c r="TNE22" s="1773"/>
      <c r="TNF22" s="1773"/>
      <c r="TNG22" s="1773"/>
      <c r="TNH22" s="1773"/>
      <c r="TNI22" s="1773"/>
      <c r="TNJ22" s="1773"/>
      <c r="TNK22" s="1773"/>
      <c r="TNL22" s="1773"/>
      <c r="TNM22" s="1773"/>
      <c r="TNN22" s="1773"/>
      <c r="TNO22" s="1773"/>
      <c r="TNP22" s="1773"/>
      <c r="TNQ22" s="1773"/>
      <c r="TNR22" s="1773"/>
      <c r="TNS22" s="1773"/>
      <c r="TNT22" s="1773"/>
      <c r="TNU22" s="1773"/>
      <c r="TNV22" s="1773"/>
      <c r="TNW22" s="1773"/>
      <c r="TNX22" s="1773"/>
      <c r="TNY22" s="1773"/>
      <c r="TNZ22" s="1773"/>
      <c r="TOA22" s="1773"/>
      <c r="TOB22" s="1773"/>
      <c r="TOC22" s="1773"/>
      <c r="TOD22" s="1773"/>
      <c r="TOE22" s="1773"/>
      <c r="TOF22" s="1773"/>
      <c r="TOG22" s="1773"/>
      <c r="TOH22" s="1773"/>
      <c r="TOI22" s="1773"/>
      <c r="TOJ22" s="1773"/>
      <c r="TOK22" s="1773"/>
      <c r="TOL22" s="1773"/>
      <c r="TOM22" s="1773"/>
      <c r="TON22" s="1773"/>
      <c r="TOO22" s="1773"/>
      <c r="TOP22" s="1773"/>
      <c r="TOQ22" s="1773"/>
      <c r="TOR22" s="1773"/>
      <c r="TOS22" s="1773"/>
      <c r="TOT22" s="1773"/>
      <c r="TOU22" s="1773"/>
      <c r="TOV22" s="1773"/>
      <c r="TOW22" s="1773"/>
      <c r="TOX22" s="1773"/>
      <c r="TOY22" s="1773"/>
      <c r="TOZ22" s="1773"/>
      <c r="TPA22" s="1773"/>
      <c r="TPB22" s="1773"/>
      <c r="TPC22" s="1773"/>
      <c r="TPD22" s="1773"/>
      <c r="TPE22" s="1773"/>
      <c r="TPF22" s="1773"/>
      <c r="TPG22" s="1773"/>
      <c r="TPH22" s="1773"/>
      <c r="TPI22" s="1773"/>
      <c r="TPJ22" s="1773"/>
      <c r="TPK22" s="1773"/>
      <c r="TPL22" s="1773"/>
      <c r="TPM22" s="1773"/>
      <c r="TPN22" s="1773"/>
      <c r="TPO22" s="1773"/>
      <c r="TPP22" s="1773"/>
      <c r="TPQ22" s="1773"/>
      <c r="TPR22" s="1773"/>
      <c r="TPS22" s="1773"/>
      <c r="TPT22" s="1773"/>
      <c r="TPU22" s="1773"/>
      <c r="TPV22" s="1773"/>
      <c r="TPW22" s="1773"/>
      <c r="TPX22" s="1773"/>
      <c r="TPY22" s="1773"/>
      <c r="TPZ22" s="1773"/>
      <c r="TQA22" s="1773"/>
      <c r="TQB22" s="1773"/>
      <c r="TQC22" s="1773"/>
      <c r="TQD22" s="1773"/>
      <c r="TQE22" s="1773"/>
      <c r="TQF22" s="1773"/>
      <c r="TQG22" s="1773"/>
      <c r="TQH22" s="1773"/>
      <c r="TQI22" s="1773"/>
      <c r="TQJ22" s="1773"/>
      <c r="TQK22" s="1773"/>
      <c r="TQL22" s="1773"/>
      <c r="TQM22" s="1773"/>
      <c r="TQN22" s="1773"/>
      <c r="TQO22" s="1773"/>
      <c r="TQP22" s="1773"/>
      <c r="TQQ22" s="1773"/>
      <c r="TQR22" s="1773"/>
      <c r="TQS22" s="1773"/>
      <c r="TQT22" s="1773"/>
      <c r="TQU22" s="1773"/>
      <c r="TQV22" s="1773"/>
      <c r="TQW22" s="1773"/>
      <c r="TQX22" s="1773"/>
      <c r="TQY22" s="1773"/>
      <c r="TQZ22" s="1773"/>
      <c r="TRA22" s="1773"/>
      <c r="TRB22" s="1773"/>
      <c r="TRC22" s="1773"/>
      <c r="TRD22" s="1773"/>
      <c r="TRE22" s="1773"/>
      <c r="TRF22" s="1773"/>
      <c r="TRG22" s="1773"/>
      <c r="TRH22" s="1773"/>
      <c r="TRI22" s="1773"/>
      <c r="TRJ22" s="1773"/>
      <c r="TRK22" s="1773"/>
      <c r="TRL22" s="1773"/>
      <c r="TRM22" s="1773"/>
      <c r="TRN22" s="1773"/>
      <c r="TRO22" s="1773"/>
      <c r="TRP22" s="1773"/>
      <c r="TRQ22" s="1773"/>
      <c r="TRR22" s="1773"/>
      <c r="TRS22" s="1773"/>
      <c r="TRT22" s="1773"/>
      <c r="TRU22" s="1773"/>
      <c r="TRV22" s="1773"/>
      <c r="TRW22" s="1773"/>
      <c r="TRX22" s="1773"/>
      <c r="TRY22" s="1773"/>
      <c r="TRZ22" s="1773"/>
      <c r="TSA22" s="1773"/>
      <c r="TSB22" s="1773"/>
      <c r="TSC22" s="1773"/>
      <c r="TSD22" s="1773"/>
      <c r="TSE22" s="1773"/>
      <c r="TSF22" s="1773"/>
      <c r="TSG22" s="1773"/>
      <c r="TSH22" s="1773"/>
      <c r="TSI22" s="1773"/>
      <c r="TSJ22" s="1773"/>
      <c r="TSK22" s="1773"/>
      <c r="TSL22" s="1773"/>
      <c r="TSM22" s="1773"/>
      <c r="TSN22" s="1773"/>
      <c r="TSO22" s="1773"/>
      <c r="TSP22" s="1773"/>
      <c r="TSQ22" s="1773"/>
      <c r="TSR22" s="1773"/>
      <c r="TSS22" s="1773"/>
      <c r="TST22" s="1773"/>
      <c r="TSU22" s="1773"/>
      <c r="TSV22" s="1773"/>
      <c r="TSW22" s="1773"/>
      <c r="TSX22" s="1773"/>
      <c r="TSY22" s="1773"/>
      <c r="TSZ22" s="1773"/>
      <c r="TTA22" s="1773"/>
      <c r="TTB22" s="1773"/>
      <c r="TTC22" s="1773"/>
      <c r="TTD22" s="1773"/>
      <c r="TTE22" s="1773"/>
      <c r="TTF22" s="1773"/>
      <c r="TTG22" s="1773"/>
      <c r="TTH22" s="1773"/>
      <c r="TTI22" s="1773"/>
      <c r="TTJ22" s="1773"/>
      <c r="TTK22" s="1773"/>
      <c r="TTL22" s="1773"/>
      <c r="TTM22" s="1773"/>
      <c r="TTN22" s="1773"/>
      <c r="TTO22" s="1773"/>
      <c r="TTP22" s="1773"/>
      <c r="TTQ22" s="1773"/>
      <c r="TTR22" s="1773"/>
      <c r="TTS22" s="1773"/>
      <c r="TTT22" s="1773"/>
      <c r="TTU22" s="1773"/>
      <c r="TTV22" s="1773"/>
      <c r="TTW22" s="1773"/>
      <c r="TTX22" s="1773"/>
      <c r="TTY22" s="1773"/>
      <c r="TTZ22" s="1773"/>
      <c r="TUA22" s="1773"/>
      <c r="TUB22" s="1773"/>
      <c r="TUC22" s="1773"/>
      <c r="TUD22" s="1773"/>
      <c r="TUE22" s="1773"/>
      <c r="TUF22" s="1773"/>
      <c r="TUG22" s="1773"/>
      <c r="TUH22" s="1773"/>
      <c r="TUI22" s="1773"/>
      <c r="TUJ22" s="1773"/>
      <c r="TUK22" s="1773"/>
      <c r="TUL22" s="1773"/>
      <c r="TUM22" s="1773"/>
      <c r="TUN22" s="1773"/>
      <c r="TUO22" s="1773"/>
      <c r="TUP22" s="1773"/>
      <c r="TUQ22" s="1773"/>
      <c r="TUR22" s="1773"/>
      <c r="TUS22" s="1773"/>
      <c r="TUT22" s="1773"/>
      <c r="TUU22" s="1773"/>
      <c r="TUV22" s="1773"/>
      <c r="TUW22" s="1773"/>
      <c r="TUX22" s="1773"/>
      <c r="TUY22" s="1773"/>
      <c r="TUZ22" s="1773"/>
      <c r="TVA22" s="1773"/>
      <c r="TVB22" s="1773"/>
      <c r="TVC22" s="1773"/>
      <c r="TVD22" s="1773"/>
      <c r="TVE22" s="1773"/>
      <c r="TVF22" s="1773"/>
      <c r="TVG22" s="1773"/>
      <c r="TVH22" s="1773"/>
      <c r="TVI22" s="1773"/>
      <c r="TVJ22" s="1773"/>
      <c r="TVK22" s="1773"/>
      <c r="TVL22" s="1773"/>
      <c r="TVM22" s="1773"/>
      <c r="TVN22" s="1773"/>
      <c r="TVO22" s="1773"/>
      <c r="TVP22" s="1773"/>
      <c r="TVQ22" s="1773"/>
      <c r="TVR22" s="1773"/>
      <c r="TVS22" s="1773"/>
      <c r="TVT22" s="1773"/>
      <c r="TVU22" s="1773"/>
      <c r="TVV22" s="1773"/>
      <c r="TVW22" s="1773"/>
      <c r="TVX22" s="1773"/>
      <c r="TVY22" s="1773"/>
      <c r="TVZ22" s="1773"/>
      <c r="TWA22" s="1773"/>
      <c r="TWB22" s="1773"/>
      <c r="TWC22" s="1773"/>
      <c r="TWD22" s="1773"/>
      <c r="TWE22" s="1773"/>
      <c r="TWF22" s="1773"/>
      <c r="TWG22" s="1773"/>
      <c r="TWH22" s="1773"/>
      <c r="TWI22" s="1773"/>
      <c r="TWJ22" s="1773"/>
      <c r="TWK22" s="1773"/>
      <c r="TWL22" s="1773"/>
      <c r="TWM22" s="1773"/>
      <c r="TWN22" s="1773"/>
      <c r="TWO22" s="1773"/>
      <c r="TWP22" s="1773"/>
      <c r="TWQ22" s="1773"/>
      <c r="TWR22" s="1773"/>
      <c r="TWS22" s="1773"/>
      <c r="TWT22" s="1773"/>
      <c r="TWU22" s="1773"/>
      <c r="TWV22" s="1773"/>
      <c r="TWW22" s="1773"/>
      <c r="TWX22" s="1773"/>
      <c r="TWY22" s="1773"/>
      <c r="TWZ22" s="1773"/>
      <c r="TXA22" s="1773"/>
      <c r="TXB22" s="1773"/>
      <c r="TXC22" s="1773"/>
      <c r="TXD22" s="1773"/>
      <c r="TXE22" s="1773"/>
      <c r="TXF22" s="1773"/>
      <c r="TXG22" s="1773"/>
      <c r="TXH22" s="1773"/>
      <c r="TXI22" s="1773"/>
      <c r="TXJ22" s="1773"/>
      <c r="TXK22" s="1773"/>
      <c r="TXL22" s="1773"/>
      <c r="TXM22" s="1773"/>
      <c r="TXN22" s="1773"/>
      <c r="TXO22" s="1773"/>
      <c r="TXP22" s="1773"/>
      <c r="TXQ22" s="1773"/>
      <c r="TXR22" s="1773"/>
      <c r="TXS22" s="1773"/>
      <c r="TXT22" s="1773"/>
      <c r="TXU22" s="1773"/>
      <c r="TXV22" s="1773"/>
      <c r="TXW22" s="1773"/>
      <c r="TXX22" s="1773"/>
      <c r="TXY22" s="1773"/>
      <c r="TXZ22" s="1773"/>
      <c r="TYA22" s="1773"/>
      <c r="TYB22" s="1773"/>
      <c r="TYC22" s="1773"/>
      <c r="TYD22" s="1773"/>
      <c r="TYE22" s="1773"/>
      <c r="TYF22" s="1773"/>
      <c r="TYG22" s="1773"/>
      <c r="TYH22" s="1773"/>
      <c r="TYI22" s="1773"/>
      <c r="TYJ22" s="1773"/>
      <c r="TYK22" s="1773"/>
      <c r="TYL22" s="1773"/>
      <c r="TYM22" s="1773"/>
      <c r="TYN22" s="1773"/>
      <c r="TYO22" s="1773"/>
      <c r="TYP22" s="1773"/>
      <c r="TYQ22" s="1773"/>
      <c r="TYR22" s="1773"/>
      <c r="TYS22" s="1773"/>
      <c r="TYT22" s="1773"/>
      <c r="TYU22" s="1773"/>
      <c r="TYV22" s="1773"/>
      <c r="TYW22" s="1773"/>
      <c r="TYX22" s="1773"/>
      <c r="TYY22" s="1773"/>
      <c r="TYZ22" s="1773"/>
      <c r="TZA22" s="1773"/>
      <c r="TZB22" s="1773"/>
      <c r="TZC22" s="1773"/>
      <c r="TZD22" s="1773"/>
      <c r="TZE22" s="1773"/>
      <c r="TZF22" s="1773"/>
      <c r="TZG22" s="1773"/>
      <c r="TZH22" s="1773"/>
      <c r="TZI22" s="1773"/>
      <c r="TZJ22" s="1773"/>
      <c r="TZK22" s="1773"/>
      <c r="TZL22" s="1773"/>
      <c r="TZM22" s="1773"/>
      <c r="TZN22" s="1773"/>
      <c r="TZO22" s="1773"/>
      <c r="TZP22" s="1773"/>
      <c r="TZQ22" s="1773"/>
      <c r="TZR22" s="1773"/>
      <c r="TZS22" s="1773"/>
      <c r="TZT22" s="1773"/>
      <c r="TZU22" s="1773"/>
      <c r="TZV22" s="1773"/>
      <c r="TZW22" s="1773"/>
      <c r="TZX22" s="1773"/>
      <c r="TZY22" s="1773"/>
      <c r="TZZ22" s="1773"/>
      <c r="UAA22" s="1773"/>
      <c r="UAB22" s="1773"/>
      <c r="UAC22" s="1773"/>
      <c r="UAD22" s="1773"/>
      <c r="UAE22" s="1773"/>
      <c r="UAF22" s="1773"/>
      <c r="UAG22" s="1773"/>
      <c r="UAH22" s="1773"/>
      <c r="UAI22" s="1773"/>
      <c r="UAJ22" s="1773"/>
      <c r="UAK22" s="1773"/>
      <c r="UAL22" s="1773"/>
      <c r="UAM22" s="1773"/>
      <c r="UAN22" s="1773"/>
      <c r="UAO22" s="1773"/>
      <c r="UAP22" s="1773"/>
      <c r="UAQ22" s="1773"/>
      <c r="UAR22" s="1773"/>
      <c r="UAS22" s="1773"/>
      <c r="UAT22" s="1773"/>
      <c r="UAU22" s="1773"/>
      <c r="UAV22" s="1773"/>
      <c r="UAW22" s="1773"/>
      <c r="UAX22" s="1773"/>
      <c r="UAY22" s="1773"/>
      <c r="UAZ22" s="1773"/>
      <c r="UBA22" s="1773"/>
      <c r="UBB22" s="1773"/>
      <c r="UBC22" s="1773"/>
      <c r="UBD22" s="1773"/>
      <c r="UBE22" s="1773"/>
      <c r="UBF22" s="1773"/>
      <c r="UBG22" s="1773"/>
      <c r="UBH22" s="1773"/>
      <c r="UBI22" s="1773"/>
      <c r="UBJ22" s="1773"/>
      <c r="UBK22" s="1773"/>
      <c r="UBL22" s="1773"/>
      <c r="UBM22" s="1773"/>
      <c r="UBN22" s="1773"/>
      <c r="UBO22" s="1773"/>
      <c r="UBP22" s="1773"/>
      <c r="UBQ22" s="1773"/>
      <c r="UBR22" s="1773"/>
      <c r="UBS22" s="1773"/>
      <c r="UBT22" s="1773"/>
      <c r="UBU22" s="1773"/>
      <c r="UBV22" s="1773"/>
      <c r="UBW22" s="1773"/>
      <c r="UBX22" s="1773"/>
      <c r="UBY22" s="1773"/>
      <c r="UBZ22" s="1773"/>
      <c r="UCA22" s="1773"/>
      <c r="UCB22" s="1773"/>
      <c r="UCC22" s="1773"/>
      <c r="UCD22" s="1773"/>
      <c r="UCE22" s="1773"/>
      <c r="UCF22" s="1773"/>
      <c r="UCG22" s="1773"/>
      <c r="UCH22" s="1773"/>
      <c r="UCI22" s="1773"/>
      <c r="UCJ22" s="1773"/>
      <c r="UCK22" s="1773"/>
      <c r="UCL22" s="1773"/>
      <c r="UCM22" s="1773"/>
      <c r="UCN22" s="1773"/>
      <c r="UCO22" s="1773"/>
      <c r="UCP22" s="1773"/>
      <c r="UCQ22" s="1773"/>
      <c r="UCR22" s="1773"/>
      <c r="UCS22" s="1773"/>
      <c r="UCT22" s="1773"/>
      <c r="UCU22" s="1773"/>
      <c r="UCV22" s="1773"/>
      <c r="UCW22" s="1773"/>
      <c r="UCX22" s="1773"/>
      <c r="UCY22" s="1773"/>
      <c r="UCZ22" s="1773"/>
      <c r="UDA22" s="1773"/>
      <c r="UDB22" s="1773"/>
      <c r="UDC22" s="1773"/>
      <c r="UDD22" s="1773"/>
      <c r="UDE22" s="1773"/>
      <c r="UDF22" s="1773"/>
      <c r="UDG22" s="1773"/>
      <c r="UDH22" s="1773"/>
      <c r="UDI22" s="1773"/>
      <c r="UDJ22" s="1773"/>
      <c r="UDK22" s="1773"/>
      <c r="UDL22" s="1773"/>
      <c r="UDM22" s="1773"/>
      <c r="UDN22" s="1773"/>
      <c r="UDO22" s="1773"/>
      <c r="UDP22" s="1773"/>
      <c r="UDQ22" s="1773"/>
      <c r="UDR22" s="1773"/>
      <c r="UDS22" s="1773"/>
      <c r="UDT22" s="1773"/>
      <c r="UDU22" s="1773"/>
      <c r="UDV22" s="1773"/>
      <c r="UDW22" s="1773"/>
      <c r="UDX22" s="1773"/>
      <c r="UDY22" s="1773"/>
      <c r="UDZ22" s="1773"/>
      <c r="UEA22" s="1773"/>
      <c r="UEB22" s="1773"/>
      <c r="UEC22" s="1773"/>
      <c r="UED22" s="1773"/>
      <c r="UEE22" s="1773"/>
      <c r="UEF22" s="1773"/>
      <c r="UEG22" s="1773"/>
      <c r="UEH22" s="1773"/>
      <c r="UEI22" s="1773"/>
      <c r="UEJ22" s="1773"/>
      <c r="UEK22" s="1773"/>
      <c r="UEL22" s="1773"/>
      <c r="UEM22" s="1773"/>
      <c r="UEN22" s="1773"/>
      <c r="UEO22" s="1773"/>
      <c r="UEP22" s="1773"/>
      <c r="UEQ22" s="1773"/>
      <c r="UER22" s="1773"/>
      <c r="UES22" s="1773"/>
      <c r="UET22" s="1773"/>
      <c r="UEU22" s="1773"/>
      <c r="UEV22" s="1773"/>
      <c r="UEW22" s="1773"/>
      <c r="UEX22" s="1773"/>
      <c r="UEY22" s="1773"/>
      <c r="UEZ22" s="1773"/>
      <c r="UFA22" s="1773"/>
      <c r="UFB22" s="1773"/>
      <c r="UFC22" s="1773"/>
      <c r="UFD22" s="1773"/>
      <c r="UFE22" s="1773"/>
      <c r="UFF22" s="1773"/>
      <c r="UFG22" s="1773"/>
      <c r="UFH22" s="1773"/>
      <c r="UFI22" s="1773"/>
      <c r="UFJ22" s="1773"/>
      <c r="UFK22" s="1773"/>
      <c r="UFL22" s="1773"/>
      <c r="UFM22" s="1773"/>
      <c r="UFN22" s="1773"/>
      <c r="UFO22" s="1773"/>
      <c r="UFP22" s="1773"/>
      <c r="UFQ22" s="1773"/>
      <c r="UFR22" s="1773"/>
      <c r="UFS22" s="1773"/>
      <c r="UFT22" s="1773"/>
      <c r="UFU22" s="1773"/>
      <c r="UFV22" s="1773"/>
      <c r="UFW22" s="1773"/>
      <c r="UFX22" s="1773"/>
      <c r="UFY22" s="1773"/>
      <c r="UFZ22" s="1773"/>
      <c r="UGA22" s="1773"/>
      <c r="UGB22" s="1773"/>
      <c r="UGC22" s="1773"/>
      <c r="UGD22" s="1773"/>
      <c r="UGE22" s="1773"/>
      <c r="UGF22" s="1773"/>
      <c r="UGG22" s="1773"/>
      <c r="UGH22" s="1773"/>
      <c r="UGI22" s="1773"/>
      <c r="UGJ22" s="1773"/>
      <c r="UGK22" s="1773"/>
      <c r="UGL22" s="1773"/>
      <c r="UGM22" s="1773"/>
      <c r="UGN22" s="1773"/>
      <c r="UGO22" s="1773"/>
      <c r="UGP22" s="1773"/>
      <c r="UGQ22" s="1773"/>
      <c r="UGR22" s="1773"/>
      <c r="UGS22" s="1773"/>
      <c r="UGT22" s="1773"/>
      <c r="UGU22" s="1773"/>
      <c r="UGV22" s="1773"/>
      <c r="UGW22" s="1773"/>
      <c r="UGX22" s="1773"/>
      <c r="UGY22" s="1773"/>
      <c r="UGZ22" s="1773"/>
      <c r="UHA22" s="1773"/>
      <c r="UHB22" s="1773"/>
      <c r="UHC22" s="1773"/>
      <c r="UHD22" s="1773"/>
      <c r="UHE22" s="1773"/>
      <c r="UHF22" s="1773"/>
      <c r="UHG22" s="1773"/>
      <c r="UHH22" s="1773"/>
      <c r="UHI22" s="1773"/>
      <c r="UHJ22" s="1773"/>
      <c r="UHK22" s="1773"/>
      <c r="UHL22" s="1773"/>
      <c r="UHM22" s="1773"/>
      <c r="UHN22" s="1773"/>
      <c r="UHO22" s="1773"/>
      <c r="UHP22" s="1773"/>
      <c r="UHQ22" s="1773"/>
      <c r="UHR22" s="1773"/>
      <c r="UHS22" s="1773"/>
      <c r="UHT22" s="1773"/>
      <c r="UHU22" s="1773"/>
      <c r="UHV22" s="1773"/>
      <c r="UHW22" s="1773"/>
      <c r="UHX22" s="1773"/>
      <c r="UHY22" s="1773"/>
      <c r="UHZ22" s="1773"/>
      <c r="UIA22" s="1773"/>
      <c r="UIB22" s="1773"/>
      <c r="UIC22" s="1773"/>
      <c r="UID22" s="1773"/>
      <c r="UIE22" s="1773"/>
      <c r="UIF22" s="1773"/>
      <c r="UIG22" s="1773"/>
      <c r="UIH22" s="1773"/>
      <c r="UII22" s="1773"/>
      <c r="UIJ22" s="1773"/>
      <c r="UIK22" s="1773"/>
      <c r="UIL22" s="1773"/>
      <c r="UIM22" s="1773"/>
      <c r="UIN22" s="1773"/>
      <c r="UIO22" s="1773"/>
      <c r="UIP22" s="1773"/>
      <c r="UIQ22" s="1773"/>
      <c r="UIR22" s="1773"/>
      <c r="UIS22" s="1773"/>
      <c r="UIT22" s="1773"/>
      <c r="UIU22" s="1773"/>
      <c r="UIV22" s="1773"/>
      <c r="UIW22" s="1773"/>
      <c r="UIX22" s="1773"/>
      <c r="UIY22" s="1773"/>
      <c r="UIZ22" s="1773"/>
      <c r="UJA22" s="1773"/>
      <c r="UJB22" s="1773"/>
      <c r="UJC22" s="1773"/>
      <c r="UJD22" s="1773"/>
      <c r="UJE22" s="1773"/>
      <c r="UJF22" s="1773"/>
      <c r="UJG22" s="1773"/>
      <c r="UJH22" s="1773"/>
      <c r="UJI22" s="1773"/>
      <c r="UJJ22" s="1773"/>
      <c r="UJK22" s="1773"/>
      <c r="UJL22" s="1773"/>
      <c r="UJM22" s="1773"/>
      <c r="UJN22" s="1773"/>
      <c r="UJO22" s="1773"/>
      <c r="UJP22" s="1773"/>
      <c r="UJQ22" s="1773"/>
      <c r="UJR22" s="1773"/>
      <c r="UJS22" s="1773"/>
      <c r="UJT22" s="1773"/>
      <c r="UJU22" s="1773"/>
      <c r="UJV22" s="1773"/>
      <c r="UJW22" s="1773"/>
      <c r="UJX22" s="1773"/>
      <c r="UJY22" s="1773"/>
      <c r="UJZ22" s="1773"/>
      <c r="UKA22" s="1773"/>
      <c r="UKB22" s="1773"/>
      <c r="UKC22" s="1773"/>
      <c r="UKD22" s="1773"/>
      <c r="UKE22" s="1773"/>
      <c r="UKF22" s="1773"/>
      <c r="UKG22" s="1773"/>
      <c r="UKH22" s="1773"/>
      <c r="UKI22" s="1773"/>
      <c r="UKJ22" s="1773"/>
      <c r="UKK22" s="1773"/>
      <c r="UKL22" s="1773"/>
      <c r="UKM22" s="1773"/>
      <c r="UKN22" s="1773"/>
      <c r="UKO22" s="1773"/>
      <c r="UKP22" s="1773"/>
      <c r="UKQ22" s="1773"/>
      <c r="UKR22" s="1773"/>
      <c r="UKS22" s="1773"/>
      <c r="UKT22" s="1773"/>
      <c r="UKU22" s="1773"/>
      <c r="UKV22" s="1773"/>
      <c r="UKW22" s="1773"/>
      <c r="UKX22" s="1773"/>
      <c r="UKY22" s="1773"/>
      <c r="UKZ22" s="1773"/>
      <c r="ULA22" s="1773"/>
      <c r="ULB22" s="1773"/>
      <c r="ULC22" s="1773"/>
      <c r="ULD22" s="1773"/>
      <c r="ULE22" s="1773"/>
      <c r="ULF22" s="1773"/>
      <c r="ULG22" s="1773"/>
      <c r="ULH22" s="1773"/>
      <c r="ULI22" s="1773"/>
      <c r="ULJ22" s="1773"/>
      <c r="ULK22" s="1773"/>
      <c r="ULL22" s="1773"/>
      <c r="ULM22" s="1773"/>
      <c r="ULN22" s="1773"/>
      <c r="ULO22" s="1773"/>
      <c r="ULP22" s="1773"/>
      <c r="ULQ22" s="1773"/>
      <c r="ULR22" s="1773"/>
      <c r="ULS22" s="1773"/>
      <c r="ULT22" s="1773"/>
      <c r="ULU22" s="1773"/>
      <c r="ULV22" s="1773"/>
      <c r="ULW22" s="1773"/>
      <c r="ULX22" s="1773"/>
      <c r="ULY22" s="1773"/>
      <c r="ULZ22" s="1773"/>
      <c r="UMA22" s="1773"/>
      <c r="UMB22" s="1773"/>
      <c r="UMC22" s="1773"/>
      <c r="UMD22" s="1773"/>
      <c r="UME22" s="1773"/>
      <c r="UMF22" s="1773"/>
      <c r="UMG22" s="1773"/>
      <c r="UMH22" s="1773"/>
      <c r="UMI22" s="1773"/>
      <c r="UMJ22" s="1773"/>
      <c r="UMK22" s="1773"/>
      <c r="UML22" s="1773"/>
      <c r="UMM22" s="1773"/>
      <c r="UMN22" s="1773"/>
      <c r="UMO22" s="1773"/>
      <c r="UMP22" s="1773"/>
      <c r="UMQ22" s="1773"/>
      <c r="UMR22" s="1773"/>
      <c r="UMS22" s="1773"/>
      <c r="UMT22" s="1773"/>
      <c r="UMU22" s="1773"/>
      <c r="UMV22" s="1773"/>
      <c r="UMW22" s="1773"/>
      <c r="UMX22" s="1773"/>
      <c r="UMY22" s="1773"/>
      <c r="UMZ22" s="1773"/>
      <c r="UNA22" s="1773"/>
      <c r="UNB22" s="1773"/>
      <c r="UNC22" s="1773"/>
      <c r="UND22" s="1773"/>
      <c r="UNE22" s="1773"/>
      <c r="UNF22" s="1773"/>
      <c r="UNG22" s="1773"/>
      <c r="UNH22" s="1773"/>
      <c r="UNI22" s="1773"/>
      <c r="UNJ22" s="1773"/>
      <c r="UNK22" s="1773"/>
      <c r="UNL22" s="1773"/>
      <c r="UNM22" s="1773"/>
      <c r="UNN22" s="1773"/>
      <c r="UNO22" s="1773"/>
      <c r="UNP22" s="1773"/>
      <c r="UNQ22" s="1773"/>
      <c r="UNR22" s="1773"/>
      <c r="UNS22" s="1773"/>
      <c r="UNT22" s="1773"/>
      <c r="UNU22" s="1773"/>
      <c r="UNV22" s="1773"/>
      <c r="UNW22" s="1773"/>
      <c r="UNX22" s="1773"/>
      <c r="UNY22" s="1773"/>
      <c r="UNZ22" s="1773"/>
      <c r="UOA22" s="1773"/>
      <c r="UOB22" s="1773"/>
      <c r="UOC22" s="1773"/>
      <c r="UOD22" s="1773"/>
      <c r="UOE22" s="1773"/>
      <c r="UOF22" s="1773"/>
      <c r="UOG22" s="1773"/>
      <c r="UOH22" s="1773"/>
      <c r="UOI22" s="1773"/>
      <c r="UOJ22" s="1773"/>
      <c r="UOK22" s="1773"/>
      <c r="UOL22" s="1773"/>
      <c r="UOM22" s="1773"/>
      <c r="UON22" s="1773"/>
      <c r="UOO22" s="1773"/>
      <c r="UOP22" s="1773"/>
      <c r="UOQ22" s="1773"/>
      <c r="UOR22" s="1773"/>
      <c r="UOS22" s="1773"/>
      <c r="UOT22" s="1773"/>
      <c r="UOU22" s="1773"/>
      <c r="UOV22" s="1773"/>
      <c r="UOW22" s="1773"/>
      <c r="UOX22" s="1773"/>
      <c r="UOY22" s="1773"/>
      <c r="UOZ22" s="1773"/>
      <c r="UPA22" s="1773"/>
      <c r="UPB22" s="1773"/>
      <c r="UPC22" s="1773"/>
      <c r="UPD22" s="1773"/>
      <c r="UPE22" s="1773"/>
      <c r="UPF22" s="1773"/>
      <c r="UPG22" s="1773"/>
      <c r="UPH22" s="1773"/>
      <c r="UPI22" s="1773"/>
      <c r="UPJ22" s="1773"/>
      <c r="UPK22" s="1773"/>
      <c r="UPL22" s="1773"/>
      <c r="UPM22" s="1773"/>
      <c r="UPN22" s="1773"/>
      <c r="UPO22" s="1773"/>
      <c r="UPP22" s="1773"/>
      <c r="UPQ22" s="1773"/>
      <c r="UPR22" s="1773"/>
      <c r="UPS22" s="1773"/>
      <c r="UPT22" s="1773"/>
      <c r="UPU22" s="1773"/>
      <c r="UPV22" s="1773"/>
      <c r="UPW22" s="1773"/>
      <c r="UPX22" s="1773"/>
      <c r="UPY22" s="1773"/>
      <c r="UPZ22" s="1773"/>
      <c r="UQA22" s="1773"/>
      <c r="UQB22" s="1773"/>
      <c r="UQC22" s="1773"/>
      <c r="UQD22" s="1773"/>
      <c r="UQE22" s="1773"/>
      <c r="UQF22" s="1773"/>
      <c r="UQG22" s="1773"/>
      <c r="UQH22" s="1773"/>
      <c r="UQI22" s="1773"/>
      <c r="UQJ22" s="1773"/>
      <c r="UQK22" s="1773"/>
      <c r="UQL22" s="1773"/>
      <c r="UQM22" s="1773"/>
      <c r="UQN22" s="1773"/>
      <c r="UQO22" s="1773"/>
      <c r="UQP22" s="1773"/>
      <c r="UQQ22" s="1773"/>
      <c r="UQR22" s="1773"/>
      <c r="UQS22" s="1773"/>
      <c r="UQT22" s="1773"/>
      <c r="UQU22" s="1773"/>
      <c r="UQV22" s="1773"/>
      <c r="UQW22" s="1773"/>
      <c r="UQX22" s="1773"/>
      <c r="UQY22" s="1773"/>
      <c r="UQZ22" s="1773"/>
      <c r="URA22" s="1773"/>
      <c r="URB22" s="1773"/>
      <c r="URC22" s="1773"/>
      <c r="URD22" s="1773"/>
      <c r="URE22" s="1773"/>
      <c r="URF22" s="1773"/>
      <c r="URG22" s="1773"/>
      <c r="URH22" s="1773"/>
      <c r="URI22" s="1773"/>
      <c r="URJ22" s="1773"/>
      <c r="URK22" s="1773"/>
      <c r="URL22" s="1773"/>
      <c r="URM22" s="1773"/>
      <c r="URN22" s="1773"/>
      <c r="URO22" s="1773"/>
      <c r="URP22" s="1773"/>
      <c r="URQ22" s="1773"/>
      <c r="URR22" s="1773"/>
      <c r="URS22" s="1773"/>
      <c r="URT22" s="1773"/>
      <c r="URU22" s="1773"/>
      <c r="URV22" s="1773"/>
      <c r="URW22" s="1773"/>
      <c r="URX22" s="1773"/>
      <c r="URY22" s="1773"/>
      <c r="URZ22" s="1773"/>
      <c r="USA22" s="1773"/>
      <c r="USB22" s="1773"/>
      <c r="USC22" s="1773"/>
      <c r="USD22" s="1773"/>
      <c r="USE22" s="1773"/>
      <c r="USF22" s="1773"/>
      <c r="USG22" s="1773"/>
      <c r="USH22" s="1773"/>
      <c r="USI22" s="1773"/>
      <c r="USJ22" s="1773"/>
      <c r="USK22" s="1773"/>
      <c r="USL22" s="1773"/>
      <c r="USM22" s="1773"/>
      <c r="USN22" s="1773"/>
      <c r="USO22" s="1773"/>
      <c r="USP22" s="1773"/>
      <c r="USQ22" s="1773"/>
      <c r="USR22" s="1773"/>
      <c r="USS22" s="1773"/>
      <c r="UST22" s="1773"/>
      <c r="USU22" s="1773"/>
      <c r="USV22" s="1773"/>
      <c r="USW22" s="1773"/>
      <c r="USX22" s="1773"/>
      <c r="USY22" s="1773"/>
      <c r="USZ22" s="1773"/>
      <c r="UTA22" s="1773"/>
      <c r="UTB22" s="1773"/>
      <c r="UTC22" s="1773"/>
      <c r="UTD22" s="1773"/>
      <c r="UTE22" s="1773"/>
      <c r="UTF22" s="1773"/>
      <c r="UTG22" s="1773"/>
      <c r="UTH22" s="1773"/>
      <c r="UTI22" s="1773"/>
      <c r="UTJ22" s="1773"/>
      <c r="UTK22" s="1773"/>
      <c r="UTL22" s="1773"/>
      <c r="UTM22" s="1773"/>
      <c r="UTN22" s="1773"/>
      <c r="UTO22" s="1773"/>
      <c r="UTP22" s="1773"/>
      <c r="UTQ22" s="1773"/>
      <c r="UTR22" s="1773"/>
      <c r="UTS22" s="1773"/>
      <c r="UTT22" s="1773"/>
      <c r="UTU22" s="1773"/>
      <c r="UTV22" s="1773"/>
      <c r="UTW22" s="1773"/>
      <c r="UTX22" s="1773"/>
      <c r="UTY22" s="1773"/>
      <c r="UTZ22" s="1773"/>
      <c r="UUA22" s="1773"/>
      <c r="UUB22" s="1773"/>
      <c r="UUC22" s="1773"/>
      <c r="UUD22" s="1773"/>
      <c r="UUE22" s="1773"/>
      <c r="UUF22" s="1773"/>
      <c r="UUG22" s="1773"/>
      <c r="UUH22" s="1773"/>
      <c r="UUI22" s="1773"/>
      <c r="UUJ22" s="1773"/>
      <c r="UUK22" s="1773"/>
      <c r="UUL22" s="1773"/>
      <c r="UUM22" s="1773"/>
      <c r="UUN22" s="1773"/>
      <c r="UUO22" s="1773"/>
      <c r="UUP22" s="1773"/>
      <c r="UUQ22" s="1773"/>
      <c r="UUR22" s="1773"/>
      <c r="UUS22" s="1773"/>
      <c r="UUT22" s="1773"/>
      <c r="UUU22" s="1773"/>
      <c r="UUV22" s="1773"/>
      <c r="UUW22" s="1773"/>
      <c r="UUX22" s="1773"/>
      <c r="UUY22" s="1773"/>
      <c r="UUZ22" s="1773"/>
      <c r="UVA22" s="1773"/>
      <c r="UVB22" s="1773"/>
      <c r="UVC22" s="1773"/>
      <c r="UVD22" s="1773"/>
      <c r="UVE22" s="1773"/>
      <c r="UVF22" s="1773"/>
      <c r="UVG22" s="1773"/>
      <c r="UVH22" s="1773"/>
      <c r="UVI22" s="1773"/>
      <c r="UVJ22" s="1773"/>
      <c r="UVK22" s="1773"/>
      <c r="UVL22" s="1773"/>
      <c r="UVM22" s="1773"/>
      <c r="UVN22" s="1773"/>
      <c r="UVO22" s="1773"/>
      <c r="UVP22" s="1773"/>
      <c r="UVQ22" s="1773"/>
      <c r="UVR22" s="1773"/>
      <c r="UVS22" s="1773"/>
      <c r="UVT22" s="1773"/>
      <c r="UVU22" s="1773"/>
      <c r="UVV22" s="1773"/>
      <c r="UVW22" s="1773"/>
      <c r="UVX22" s="1773"/>
      <c r="UVY22" s="1773"/>
      <c r="UVZ22" s="1773"/>
      <c r="UWA22" s="1773"/>
      <c r="UWB22" s="1773"/>
      <c r="UWC22" s="1773"/>
      <c r="UWD22" s="1773"/>
      <c r="UWE22" s="1773"/>
      <c r="UWF22" s="1773"/>
      <c r="UWG22" s="1773"/>
      <c r="UWH22" s="1773"/>
      <c r="UWI22" s="1773"/>
      <c r="UWJ22" s="1773"/>
      <c r="UWK22" s="1773"/>
      <c r="UWL22" s="1773"/>
      <c r="UWM22" s="1773"/>
      <c r="UWN22" s="1773"/>
      <c r="UWO22" s="1773"/>
      <c r="UWP22" s="1773"/>
      <c r="UWQ22" s="1773"/>
      <c r="UWR22" s="1773"/>
      <c r="UWS22" s="1773"/>
      <c r="UWT22" s="1773"/>
      <c r="UWU22" s="1773"/>
      <c r="UWV22" s="1773"/>
      <c r="UWW22" s="1773"/>
      <c r="UWX22" s="1773"/>
      <c r="UWY22" s="1773"/>
      <c r="UWZ22" s="1773"/>
      <c r="UXA22" s="1773"/>
      <c r="UXB22" s="1773"/>
      <c r="UXC22" s="1773"/>
      <c r="UXD22" s="1773"/>
      <c r="UXE22" s="1773"/>
      <c r="UXF22" s="1773"/>
      <c r="UXG22" s="1773"/>
      <c r="UXH22" s="1773"/>
      <c r="UXI22" s="1773"/>
      <c r="UXJ22" s="1773"/>
      <c r="UXK22" s="1773"/>
      <c r="UXL22" s="1773"/>
      <c r="UXM22" s="1773"/>
      <c r="UXN22" s="1773"/>
      <c r="UXO22" s="1773"/>
      <c r="UXP22" s="1773"/>
      <c r="UXQ22" s="1773"/>
      <c r="UXR22" s="1773"/>
      <c r="UXS22" s="1773"/>
      <c r="UXT22" s="1773"/>
      <c r="UXU22" s="1773"/>
      <c r="UXV22" s="1773"/>
      <c r="UXW22" s="1773"/>
      <c r="UXX22" s="1773"/>
      <c r="UXY22" s="1773"/>
      <c r="UXZ22" s="1773"/>
      <c r="UYA22" s="1773"/>
      <c r="UYB22" s="1773"/>
      <c r="UYC22" s="1773"/>
      <c r="UYD22" s="1773"/>
      <c r="UYE22" s="1773"/>
      <c r="UYF22" s="1773"/>
      <c r="UYG22" s="1773"/>
      <c r="UYH22" s="1773"/>
      <c r="UYI22" s="1773"/>
      <c r="UYJ22" s="1773"/>
      <c r="UYK22" s="1773"/>
      <c r="UYL22" s="1773"/>
      <c r="UYM22" s="1773"/>
      <c r="UYN22" s="1773"/>
      <c r="UYO22" s="1773"/>
      <c r="UYP22" s="1773"/>
      <c r="UYQ22" s="1773"/>
      <c r="UYR22" s="1773"/>
      <c r="UYS22" s="1773"/>
      <c r="UYT22" s="1773"/>
      <c r="UYU22" s="1773"/>
      <c r="UYV22" s="1773"/>
      <c r="UYW22" s="1773"/>
      <c r="UYX22" s="1773"/>
      <c r="UYY22" s="1773"/>
      <c r="UYZ22" s="1773"/>
      <c r="UZA22" s="1773"/>
      <c r="UZB22" s="1773"/>
      <c r="UZC22" s="1773"/>
      <c r="UZD22" s="1773"/>
      <c r="UZE22" s="1773"/>
      <c r="UZF22" s="1773"/>
      <c r="UZG22" s="1773"/>
      <c r="UZH22" s="1773"/>
      <c r="UZI22" s="1773"/>
      <c r="UZJ22" s="1773"/>
      <c r="UZK22" s="1773"/>
      <c r="UZL22" s="1773"/>
      <c r="UZM22" s="1773"/>
      <c r="UZN22" s="1773"/>
      <c r="UZO22" s="1773"/>
      <c r="UZP22" s="1773"/>
      <c r="UZQ22" s="1773"/>
      <c r="UZR22" s="1773"/>
      <c r="UZS22" s="1773"/>
      <c r="UZT22" s="1773"/>
      <c r="UZU22" s="1773"/>
      <c r="UZV22" s="1773"/>
      <c r="UZW22" s="1773"/>
      <c r="UZX22" s="1773"/>
      <c r="UZY22" s="1773"/>
      <c r="UZZ22" s="1773"/>
      <c r="VAA22" s="1773"/>
      <c r="VAB22" s="1773"/>
      <c r="VAC22" s="1773"/>
      <c r="VAD22" s="1773"/>
      <c r="VAE22" s="1773"/>
      <c r="VAF22" s="1773"/>
      <c r="VAG22" s="1773"/>
      <c r="VAH22" s="1773"/>
      <c r="VAI22" s="1773"/>
      <c r="VAJ22" s="1773"/>
      <c r="VAK22" s="1773"/>
      <c r="VAL22" s="1773"/>
      <c r="VAM22" s="1773"/>
      <c r="VAN22" s="1773"/>
      <c r="VAO22" s="1773"/>
      <c r="VAP22" s="1773"/>
      <c r="VAQ22" s="1773"/>
      <c r="VAR22" s="1773"/>
      <c r="VAS22" s="1773"/>
      <c r="VAT22" s="1773"/>
      <c r="VAU22" s="1773"/>
      <c r="VAV22" s="1773"/>
      <c r="VAW22" s="1773"/>
      <c r="VAX22" s="1773"/>
      <c r="VAY22" s="1773"/>
      <c r="VAZ22" s="1773"/>
      <c r="VBA22" s="1773"/>
      <c r="VBB22" s="1773"/>
      <c r="VBC22" s="1773"/>
      <c r="VBD22" s="1773"/>
      <c r="VBE22" s="1773"/>
      <c r="VBF22" s="1773"/>
      <c r="VBG22" s="1773"/>
      <c r="VBH22" s="1773"/>
      <c r="VBI22" s="1773"/>
      <c r="VBJ22" s="1773"/>
      <c r="VBK22" s="1773"/>
      <c r="VBL22" s="1773"/>
      <c r="VBM22" s="1773"/>
      <c r="VBN22" s="1773"/>
      <c r="VBO22" s="1773"/>
      <c r="VBP22" s="1773"/>
      <c r="VBQ22" s="1773"/>
      <c r="VBR22" s="1773"/>
      <c r="VBS22" s="1773"/>
      <c r="VBT22" s="1773"/>
      <c r="VBU22" s="1773"/>
      <c r="VBV22" s="1773"/>
      <c r="VBW22" s="1773"/>
      <c r="VBX22" s="1773"/>
      <c r="VBY22" s="1773"/>
      <c r="VBZ22" s="1773"/>
      <c r="VCA22" s="1773"/>
      <c r="VCB22" s="1773"/>
      <c r="VCC22" s="1773"/>
      <c r="VCD22" s="1773"/>
      <c r="VCE22" s="1773"/>
      <c r="VCF22" s="1773"/>
      <c r="VCG22" s="1773"/>
      <c r="VCH22" s="1773"/>
      <c r="VCI22" s="1773"/>
      <c r="VCJ22" s="1773"/>
      <c r="VCK22" s="1773"/>
      <c r="VCL22" s="1773"/>
      <c r="VCM22" s="1773"/>
      <c r="VCN22" s="1773"/>
      <c r="VCO22" s="1773"/>
      <c r="VCP22" s="1773"/>
      <c r="VCQ22" s="1773"/>
      <c r="VCR22" s="1773"/>
      <c r="VCS22" s="1773"/>
      <c r="VCT22" s="1773"/>
      <c r="VCU22" s="1773"/>
      <c r="VCV22" s="1773"/>
      <c r="VCW22" s="1773"/>
      <c r="VCX22" s="1773"/>
      <c r="VCY22" s="1773"/>
      <c r="VCZ22" s="1773"/>
      <c r="VDA22" s="1773"/>
      <c r="VDB22" s="1773"/>
      <c r="VDC22" s="1773"/>
      <c r="VDD22" s="1773"/>
      <c r="VDE22" s="1773"/>
      <c r="VDF22" s="1773"/>
      <c r="VDG22" s="1773"/>
      <c r="VDH22" s="1773"/>
      <c r="VDI22" s="1773"/>
      <c r="VDJ22" s="1773"/>
      <c r="VDK22" s="1773"/>
      <c r="VDL22" s="1773"/>
      <c r="VDM22" s="1773"/>
      <c r="VDN22" s="1773"/>
      <c r="VDO22" s="1773"/>
      <c r="VDP22" s="1773"/>
      <c r="VDQ22" s="1773"/>
      <c r="VDR22" s="1773"/>
      <c r="VDS22" s="1773"/>
      <c r="VDT22" s="1773"/>
      <c r="VDU22" s="1773"/>
      <c r="VDV22" s="1773"/>
      <c r="VDW22" s="1773"/>
      <c r="VDX22" s="1773"/>
      <c r="VDY22" s="1773"/>
      <c r="VDZ22" s="1773"/>
      <c r="VEA22" s="1773"/>
      <c r="VEB22" s="1773"/>
      <c r="VEC22" s="1773"/>
      <c r="VED22" s="1773"/>
      <c r="VEE22" s="1773"/>
      <c r="VEF22" s="1773"/>
      <c r="VEG22" s="1773"/>
      <c r="VEH22" s="1773"/>
      <c r="VEI22" s="1773"/>
      <c r="VEJ22" s="1773"/>
      <c r="VEK22" s="1773"/>
      <c r="VEL22" s="1773"/>
      <c r="VEM22" s="1773"/>
      <c r="VEN22" s="1773"/>
      <c r="VEO22" s="1773"/>
      <c r="VEP22" s="1773"/>
      <c r="VEQ22" s="1773"/>
      <c r="VER22" s="1773"/>
      <c r="VES22" s="1773"/>
      <c r="VET22" s="1773"/>
      <c r="VEU22" s="1773"/>
      <c r="VEV22" s="1773"/>
      <c r="VEW22" s="1773"/>
      <c r="VEX22" s="1773"/>
      <c r="VEY22" s="1773"/>
      <c r="VEZ22" s="1773"/>
      <c r="VFA22" s="1773"/>
      <c r="VFB22" s="1773"/>
      <c r="VFC22" s="1773"/>
      <c r="VFD22" s="1773"/>
      <c r="VFE22" s="1773"/>
      <c r="VFF22" s="1773"/>
      <c r="VFG22" s="1773"/>
      <c r="VFH22" s="1773"/>
      <c r="VFI22" s="1773"/>
      <c r="VFJ22" s="1773"/>
      <c r="VFK22" s="1773"/>
      <c r="VFL22" s="1773"/>
      <c r="VFM22" s="1773"/>
      <c r="VFN22" s="1773"/>
      <c r="VFO22" s="1773"/>
      <c r="VFP22" s="1773"/>
      <c r="VFQ22" s="1773"/>
      <c r="VFR22" s="1773"/>
      <c r="VFS22" s="1773"/>
      <c r="VFT22" s="1773"/>
      <c r="VFU22" s="1773"/>
      <c r="VFV22" s="1773"/>
      <c r="VFW22" s="1773"/>
      <c r="VFX22" s="1773"/>
      <c r="VFY22" s="1773"/>
      <c r="VFZ22" s="1773"/>
      <c r="VGA22" s="1773"/>
      <c r="VGB22" s="1773"/>
      <c r="VGC22" s="1773"/>
      <c r="VGD22" s="1773"/>
      <c r="VGE22" s="1773"/>
      <c r="VGF22" s="1773"/>
      <c r="VGG22" s="1773"/>
      <c r="VGH22" s="1773"/>
      <c r="VGI22" s="1773"/>
      <c r="VGJ22" s="1773"/>
      <c r="VGK22" s="1773"/>
      <c r="VGL22" s="1773"/>
      <c r="VGM22" s="1773"/>
      <c r="VGN22" s="1773"/>
      <c r="VGO22" s="1773"/>
      <c r="VGP22" s="1773"/>
      <c r="VGQ22" s="1773"/>
      <c r="VGR22" s="1773"/>
      <c r="VGS22" s="1773"/>
      <c r="VGT22" s="1773"/>
      <c r="VGU22" s="1773"/>
      <c r="VGV22" s="1773"/>
      <c r="VGW22" s="1773"/>
      <c r="VGX22" s="1773"/>
      <c r="VGY22" s="1773"/>
      <c r="VGZ22" s="1773"/>
      <c r="VHA22" s="1773"/>
      <c r="VHB22" s="1773"/>
      <c r="VHC22" s="1773"/>
      <c r="VHD22" s="1773"/>
      <c r="VHE22" s="1773"/>
      <c r="VHF22" s="1773"/>
      <c r="VHG22" s="1773"/>
      <c r="VHH22" s="1773"/>
      <c r="VHI22" s="1773"/>
      <c r="VHJ22" s="1773"/>
      <c r="VHK22" s="1773"/>
      <c r="VHL22" s="1773"/>
      <c r="VHM22" s="1773"/>
      <c r="VHN22" s="1773"/>
      <c r="VHO22" s="1773"/>
      <c r="VHP22" s="1773"/>
      <c r="VHQ22" s="1773"/>
      <c r="VHR22" s="1773"/>
      <c r="VHS22" s="1773"/>
      <c r="VHT22" s="1773"/>
      <c r="VHU22" s="1773"/>
      <c r="VHV22" s="1773"/>
      <c r="VHW22" s="1773"/>
      <c r="VHX22" s="1773"/>
      <c r="VHY22" s="1773"/>
      <c r="VHZ22" s="1773"/>
      <c r="VIA22" s="1773"/>
      <c r="VIB22" s="1773"/>
      <c r="VIC22" s="1773"/>
      <c r="VID22" s="1773"/>
      <c r="VIE22" s="1773"/>
      <c r="VIF22" s="1773"/>
      <c r="VIG22" s="1773"/>
      <c r="VIH22" s="1773"/>
      <c r="VII22" s="1773"/>
      <c r="VIJ22" s="1773"/>
      <c r="VIK22" s="1773"/>
      <c r="VIL22" s="1773"/>
      <c r="VIM22" s="1773"/>
      <c r="VIN22" s="1773"/>
      <c r="VIO22" s="1773"/>
      <c r="VIP22" s="1773"/>
      <c r="VIQ22" s="1773"/>
      <c r="VIR22" s="1773"/>
      <c r="VIS22" s="1773"/>
      <c r="VIT22" s="1773"/>
      <c r="VIU22" s="1773"/>
      <c r="VIV22" s="1773"/>
      <c r="VIW22" s="1773"/>
      <c r="VIX22" s="1773"/>
      <c r="VIY22" s="1773"/>
      <c r="VIZ22" s="1773"/>
      <c r="VJA22" s="1773"/>
      <c r="VJB22" s="1773"/>
      <c r="VJC22" s="1773"/>
      <c r="VJD22" s="1773"/>
      <c r="VJE22" s="1773"/>
      <c r="VJF22" s="1773"/>
      <c r="VJG22" s="1773"/>
      <c r="VJH22" s="1773"/>
      <c r="VJI22" s="1773"/>
      <c r="VJJ22" s="1773"/>
      <c r="VJK22" s="1773"/>
      <c r="VJL22" s="1773"/>
      <c r="VJM22" s="1773"/>
      <c r="VJN22" s="1773"/>
      <c r="VJO22" s="1773"/>
      <c r="VJP22" s="1773"/>
      <c r="VJQ22" s="1773"/>
      <c r="VJR22" s="1773"/>
      <c r="VJS22" s="1773"/>
      <c r="VJT22" s="1773"/>
      <c r="VJU22" s="1773"/>
      <c r="VJV22" s="1773"/>
      <c r="VJW22" s="1773"/>
      <c r="VJX22" s="1773"/>
      <c r="VJY22" s="1773"/>
      <c r="VJZ22" s="1773"/>
      <c r="VKA22" s="1773"/>
      <c r="VKB22" s="1773"/>
      <c r="VKC22" s="1773"/>
      <c r="VKD22" s="1773"/>
      <c r="VKE22" s="1773"/>
      <c r="VKF22" s="1773"/>
      <c r="VKG22" s="1773"/>
      <c r="VKH22" s="1773"/>
      <c r="VKI22" s="1773"/>
      <c r="VKJ22" s="1773"/>
      <c r="VKK22" s="1773"/>
      <c r="VKL22" s="1773"/>
      <c r="VKM22" s="1773"/>
      <c r="VKN22" s="1773"/>
      <c r="VKO22" s="1773"/>
      <c r="VKP22" s="1773"/>
      <c r="VKQ22" s="1773"/>
      <c r="VKR22" s="1773"/>
      <c r="VKS22" s="1773"/>
      <c r="VKT22" s="1773"/>
      <c r="VKU22" s="1773"/>
      <c r="VKV22" s="1773"/>
      <c r="VKW22" s="1773"/>
      <c r="VKX22" s="1773"/>
      <c r="VKY22" s="1773"/>
      <c r="VKZ22" s="1773"/>
      <c r="VLA22" s="1773"/>
      <c r="VLB22" s="1773"/>
      <c r="VLC22" s="1773"/>
      <c r="VLD22" s="1773"/>
      <c r="VLE22" s="1773"/>
      <c r="VLF22" s="1773"/>
      <c r="VLG22" s="1773"/>
      <c r="VLH22" s="1773"/>
      <c r="VLI22" s="1773"/>
      <c r="VLJ22" s="1773"/>
      <c r="VLK22" s="1773"/>
      <c r="VLL22" s="1773"/>
      <c r="VLM22" s="1773"/>
      <c r="VLN22" s="1773"/>
      <c r="VLO22" s="1773"/>
      <c r="VLP22" s="1773"/>
      <c r="VLQ22" s="1773"/>
      <c r="VLR22" s="1773"/>
      <c r="VLS22" s="1773"/>
      <c r="VLT22" s="1773"/>
      <c r="VLU22" s="1773"/>
      <c r="VLV22" s="1773"/>
      <c r="VLW22" s="1773"/>
      <c r="VLX22" s="1773"/>
      <c r="VLY22" s="1773"/>
      <c r="VLZ22" s="1773"/>
      <c r="VMA22" s="1773"/>
      <c r="VMB22" s="1773"/>
      <c r="VMC22" s="1773"/>
      <c r="VMD22" s="1773"/>
      <c r="VME22" s="1773"/>
      <c r="VMF22" s="1773"/>
      <c r="VMG22" s="1773"/>
      <c r="VMH22" s="1773"/>
      <c r="VMI22" s="1773"/>
      <c r="VMJ22" s="1773"/>
      <c r="VMK22" s="1773"/>
      <c r="VML22" s="1773"/>
      <c r="VMM22" s="1773"/>
      <c r="VMN22" s="1773"/>
      <c r="VMO22" s="1773"/>
      <c r="VMP22" s="1773"/>
      <c r="VMQ22" s="1773"/>
      <c r="VMR22" s="1773"/>
      <c r="VMS22" s="1773"/>
      <c r="VMT22" s="1773"/>
      <c r="VMU22" s="1773"/>
      <c r="VMV22" s="1773"/>
      <c r="VMW22" s="1773"/>
      <c r="VMX22" s="1773"/>
      <c r="VMY22" s="1773"/>
      <c r="VMZ22" s="1773"/>
      <c r="VNA22" s="1773"/>
      <c r="VNB22" s="1773"/>
      <c r="VNC22" s="1773"/>
      <c r="VND22" s="1773"/>
      <c r="VNE22" s="1773"/>
      <c r="VNF22" s="1773"/>
      <c r="VNG22" s="1773"/>
      <c r="VNH22" s="1773"/>
      <c r="VNI22" s="1773"/>
      <c r="VNJ22" s="1773"/>
      <c r="VNK22" s="1773"/>
      <c r="VNL22" s="1773"/>
      <c r="VNM22" s="1773"/>
      <c r="VNN22" s="1773"/>
      <c r="VNO22" s="1773"/>
      <c r="VNP22" s="1773"/>
      <c r="VNQ22" s="1773"/>
      <c r="VNR22" s="1773"/>
      <c r="VNS22" s="1773"/>
      <c r="VNT22" s="1773"/>
      <c r="VNU22" s="1773"/>
      <c r="VNV22" s="1773"/>
      <c r="VNW22" s="1773"/>
      <c r="VNX22" s="1773"/>
      <c r="VNY22" s="1773"/>
      <c r="VNZ22" s="1773"/>
      <c r="VOA22" s="1773"/>
      <c r="VOB22" s="1773"/>
      <c r="VOC22" s="1773"/>
      <c r="VOD22" s="1773"/>
      <c r="VOE22" s="1773"/>
      <c r="VOF22" s="1773"/>
      <c r="VOG22" s="1773"/>
      <c r="VOH22" s="1773"/>
      <c r="VOI22" s="1773"/>
      <c r="VOJ22" s="1773"/>
      <c r="VOK22" s="1773"/>
      <c r="VOL22" s="1773"/>
      <c r="VOM22" s="1773"/>
      <c r="VON22" s="1773"/>
      <c r="VOO22" s="1773"/>
      <c r="VOP22" s="1773"/>
      <c r="VOQ22" s="1773"/>
      <c r="VOR22" s="1773"/>
      <c r="VOS22" s="1773"/>
      <c r="VOT22" s="1773"/>
      <c r="VOU22" s="1773"/>
      <c r="VOV22" s="1773"/>
      <c r="VOW22" s="1773"/>
      <c r="VOX22" s="1773"/>
      <c r="VOY22" s="1773"/>
      <c r="VOZ22" s="1773"/>
      <c r="VPA22" s="1773"/>
      <c r="VPB22" s="1773"/>
      <c r="VPC22" s="1773"/>
      <c r="VPD22" s="1773"/>
      <c r="VPE22" s="1773"/>
      <c r="VPF22" s="1773"/>
      <c r="VPG22" s="1773"/>
      <c r="VPH22" s="1773"/>
      <c r="VPI22" s="1773"/>
      <c r="VPJ22" s="1773"/>
      <c r="VPK22" s="1773"/>
      <c r="VPL22" s="1773"/>
      <c r="VPM22" s="1773"/>
      <c r="VPN22" s="1773"/>
      <c r="VPO22" s="1773"/>
      <c r="VPP22" s="1773"/>
      <c r="VPQ22" s="1773"/>
      <c r="VPR22" s="1773"/>
      <c r="VPS22" s="1773"/>
      <c r="VPT22" s="1773"/>
      <c r="VPU22" s="1773"/>
      <c r="VPV22" s="1773"/>
      <c r="VPW22" s="1773"/>
      <c r="VPX22" s="1773"/>
      <c r="VPY22" s="1773"/>
      <c r="VPZ22" s="1773"/>
      <c r="VQA22" s="1773"/>
      <c r="VQB22" s="1773"/>
      <c r="VQC22" s="1773"/>
      <c r="VQD22" s="1773"/>
      <c r="VQE22" s="1773"/>
      <c r="VQF22" s="1773"/>
      <c r="VQG22" s="1773"/>
      <c r="VQH22" s="1773"/>
      <c r="VQI22" s="1773"/>
      <c r="VQJ22" s="1773"/>
      <c r="VQK22" s="1773"/>
      <c r="VQL22" s="1773"/>
      <c r="VQM22" s="1773"/>
      <c r="VQN22" s="1773"/>
      <c r="VQO22" s="1773"/>
      <c r="VQP22" s="1773"/>
      <c r="VQQ22" s="1773"/>
      <c r="VQR22" s="1773"/>
      <c r="VQS22" s="1773"/>
      <c r="VQT22" s="1773"/>
      <c r="VQU22" s="1773"/>
      <c r="VQV22" s="1773"/>
      <c r="VQW22" s="1773"/>
      <c r="VQX22" s="1773"/>
      <c r="VQY22" s="1773"/>
      <c r="VQZ22" s="1773"/>
      <c r="VRA22" s="1773"/>
      <c r="VRB22" s="1773"/>
      <c r="VRC22" s="1773"/>
      <c r="VRD22" s="1773"/>
      <c r="VRE22" s="1773"/>
      <c r="VRF22" s="1773"/>
      <c r="VRG22" s="1773"/>
      <c r="VRH22" s="1773"/>
      <c r="VRI22" s="1773"/>
      <c r="VRJ22" s="1773"/>
      <c r="VRK22" s="1773"/>
      <c r="VRL22" s="1773"/>
      <c r="VRM22" s="1773"/>
      <c r="VRN22" s="1773"/>
      <c r="VRO22" s="1773"/>
      <c r="VRP22" s="1773"/>
      <c r="VRQ22" s="1773"/>
      <c r="VRR22" s="1773"/>
      <c r="VRS22" s="1773"/>
      <c r="VRT22" s="1773"/>
      <c r="VRU22" s="1773"/>
      <c r="VRV22" s="1773"/>
      <c r="VRW22" s="1773"/>
      <c r="VRX22" s="1773"/>
      <c r="VRY22" s="1773"/>
      <c r="VRZ22" s="1773"/>
      <c r="VSA22" s="1773"/>
      <c r="VSB22" s="1773"/>
      <c r="VSC22" s="1773"/>
      <c r="VSD22" s="1773"/>
      <c r="VSE22" s="1773"/>
      <c r="VSF22" s="1773"/>
      <c r="VSG22" s="1773"/>
      <c r="VSH22" s="1773"/>
      <c r="VSI22" s="1773"/>
      <c r="VSJ22" s="1773"/>
      <c r="VSK22" s="1773"/>
      <c r="VSL22" s="1773"/>
      <c r="VSM22" s="1773"/>
      <c r="VSN22" s="1773"/>
      <c r="VSO22" s="1773"/>
      <c r="VSP22" s="1773"/>
      <c r="VSQ22" s="1773"/>
      <c r="VSR22" s="1773"/>
      <c r="VSS22" s="1773"/>
      <c r="VST22" s="1773"/>
      <c r="VSU22" s="1773"/>
      <c r="VSV22" s="1773"/>
      <c r="VSW22" s="1773"/>
      <c r="VSX22" s="1773"/>
      <c r="VSY22" s="1773"/>
      <c r="VSZ22" s="1773"/>
      <c r="VTA22" s="1773"/>
      <c r="VTB22" s="1773"/>
      <c r="VTC22" s="1773"/>
      <c r="VTD22" s="1773"/>
      <c r="VTE22" s="1773"/>
      <c r="VTF22" s="1773"/>
      <c r="VTG22" s="1773"/>
      <c r="VTH22" s="1773"/>
      <c r="VTI22" s="1773"/>
      <c r="VTJ22" s="1773"/>
      <c r="VTK22" s="1773"/>
      <c r="VTL22" s="1773"/>
      <c r="VTM22" s="1773"/>
      <c r="VTN22" s="1773"/>
      <c r="VTO22" s="1773"/>
      <c r="VTP22" s="1773"/>
      <c r="VTQ22" s="1773"/>
      <c r="VTR22" s="1773"/>
      <c r="VTS22" s="1773"/>
      <c r="VTT22" s="1773"/>
      <c r="VTU22" s="1773"/>
      <c r="VTV22" s="1773"/>
      <c r="VTW22" s="1773"/>
      <c r="VTX22" s="1773"/>
      <c r="VTY22" s="1773"/>
      <c r="VTZ22" s="1773"/>
      <c r="VUA22" s="1773"/>
      <c r="VUB22" s="1773"/>
      <c r="VUC22" s="1773"/>
      <c r="VUD22" s="1773"/>
      <c r="VUE22" s="1773"/>
      <c r="VUF22" s="1773"/>
      <c r="VUG22" s="1773"/>
      <c r="VUH22" s="1773"/>
      <c r="VUI22" s="1773"/>
      <c r="VUJ22" s="1773"/>
      <c r="VUK22" s="1773"/>
      <c r="VUL22" s="1773"/>
      <c r="VUM22" s="1773"/>
      <c r="VUN22" s="1773"/>
      <c r="VUO22" s="1773"/>
      <c r="VUP22" s="1773"/>
      <c r="VUQ22" s="1773"/>
      <c r="VUR22" s="1773"/>
      <c r="VUS22" s="1773"/>
      <c r="VUT22" s="1773"/>
      <c r="VUU22" s="1773"/>
      <c r="VUV22" s="1773"/>
      <c r="VUW22" s="1773"/>
      <c r="VUX22" s="1773"/>
      <c r="VUY22" s="1773"/>
      <c r="VUZ22" s="1773"/>
      <c r="VVA22" s="1773"/>
      <c r="VVB22" s="1773"/>
      <c r="VVC22" s="1773"/>
      <c r="VVD22" s="1773"/>
      <c r="VVE22" s="1773"/>
      <c r="VVF22" s="1773"/>
      <c r="VVG22" s="1773"/>
      <c r="VVH22" s="1773"/>
      <c r="VVI22" s="1773"/>
      <c r="VVJ22" s="1773"/>
      <c r="VVK22" s="1773"/>
      <c r="VVL22" s="1773"/>
      <c r="VVM22" s="1773"/>
      <c r="VVN22" s="1773"/>
      <c r="VVO22" s="1773"/>
      <c r="VVP22" s="1773"/>
      <c r="VVQ22" s="1773"/>
      <c r="VVR22" s="1773"/>
      <c r="VVS22" s="1773"/>
      <c r="VVT22" s="1773"/>
      <c r="VVU22" s="1773"/>
      <c r="VVV22" s="1773"/>
      <c r="VVW22" s="1773"/>
      <c r="VVX22" s="1773"/>
      <c r="VVY22" s="1773"/>
      <c r="VVZ22" s="1773"/>
      <c r="VWA22" s="1773"/>
      <c r="VWB22" s="1773"/>
      <c r="VWC22" s="1773"/>
      <c r="VWD22" s="1773"/>
      <c r="VWE22" s="1773"/>
      <c r="VWF22" s="1773"/>
      <c r="VWG22" s="1773"/>
      <c r="VWH22" s="1773"/>
      <c r="VWI22" s="1773"/>
      <c r="VWJ22" s="1773"/>
      <c r="VWK22" s="1773"/>
      <c r="VWL22" s="1773"/>
      <c r="VWM22" s="1773"/>
      <c r="VWN22" s="1773"/>
      <c r="VWO22" s="1773"/>
      <c r="VWP22" s="1773"/>
      <c r="VWQ22" s="1773"/>
      <c r="VWR22" s="1773"/>
      <c r="VWS22" s="1773"/>
      <c r="VWT22" s="1773"/>
      <c r="VWU22" s="1773"/>
      <c r="VWV22" s="1773"/>
      <c r="VWW22" s="1773"/>
      <c r="VWX22" s="1773"/>
      <c r="VWY22" s="1773"/>
      <c r="VWZ22" s="1773"/>
      <c r="VXA22" s="1773"/>
      <c r="VXB22" s="1773"/>
      <c r="VXC22" s="1773"/>
      <c r="VXD22" s="1773"/>
      <c r="VXE22" s="1773"/>
      <c r="VXF22" s="1773"/>
      <c r="VXG22" s="1773"/>
      <c r="VXH22" s="1773"/>
      <c r="VXI22" s="1773"/>
      <c r="VXJ22" s="1773"/>
      <c r="VXK22" s="1773"/>
      <c r="VXL22" s="1773"/>
      <c r="VXM22" s="1773"/>
      <c r="VXN22" s="1773"/>
      <c r="VXO22" s="1773"/>
      <c r="VXP22" s="1773"/>
      <c r="VXQ22" s="1773"/>
      <c r="VXR22" s="1773"/>
      <c r="VXS22" s="1773"/>
      <c r="VXT22" s="1773"/>
      <c r="VXU22" s="1773"/>
      <c r="VXV22" s="1773"/>
      <c r="VXW22" s="1773"/>
      <c r="VXX22" s="1773"/>
      <c r="VXY22" s="1773"/>
      <c r="VXZ22" s="1773"/>
      <c r="VYA22" s="1773"/>
      <c r="VYB22" s="1773"/>
      <c r="VYC22" s="1773"/>
      <c r="VYD22" s="1773"/>
      <c r="VYE22" s="1773"/>
      <c r="VYF22" s="1773"/>
      <c r="VYG22" s="1773"/>
      <c r="VYH22" s="1773"/>
      <c r="VYI22" s="1773"/>
      <c r="VYJ22" s="1773"/>
      <c r="VYK22" s="1773"/>
      <c r="VYL22" s="1773"/>
      <c r="VYM22" s="1773"/>
      <c r="VYN22" s="1773"/>
      <c r="VYO22" s="1773"/>
      <c r="VYP22" s="1773"/>
      <c r="VYQ22" s="1773"/>
      <c r="VYR22" s="1773"/>
      <c r="VYS22" s="1773"/>
      <c r="VYT22" s="1773"/>
      <c r="VYU22" s="1773"/>
      <c r="VYV22" s="1773"/>
      <c r="VYW22" s="1773"/>
      <c r="VYX22" s="1773"/>
      <c r="VYY22" s="1773"/>
      <c r="VYZ22" s="1773"/>
      <c r="VZA22" s="1773"/>
      <c r="VZB22" s="1773"/>
      <c r="VZC22" s="1773"/>
      <c r="VZD22" s="1773"/>
      <c r="VZE22" s="1773"/>
      <c r="VZF22" s="1773"/>
      <c r="VZG22" s="1773"/>
      <c r="VZH22" s="1773"/>
      <c r="VZI22" s="1773"/>
      <c r="VZJ22" s="1773"/>
      <c r="VZK22" s="1773"/>
      <c r="VZL22" s="1773"/>
      <c r="VZM22" s="1773"/>
      <c r="VZN22" s="1773"/>
      <c r="VZO22" s="1773"/>
      <c r="VZP22" s="1773"/>
      <c r="VZQ22" s="1773"/>
      <c r="VZR22" s="1773"/>
      <c r="VZS22" s="1773"/>
      <c r="VZT22" s="1773"/>
      <c r="VZU22" s="1773"/>
      <c r="VZV22" s="1773"/>
      <c r="VZW22" s="1773"/>
      <c r="VZX22" s="1773"/>
      <c r="VZY22" s="1773"/>
      <c r="VZZ22" s="1773"/>
      <c r="WAA22" s="1773"/>
      <c r="WAB22" s="1773"/>
      <c r="WAC22" s="1773"/>
      <c r="WAD22" s="1773"/>
      <c r="WAE22" s="1773"/>
      <c r="WAF22" s="1773"/>
      <c r="WAG22" s="1773"/>
      <c r="WAH22" s="1773"/>
      <c r="WAI22" s="1773"/>
      <c r="WAJ22" s="1773"/>
      <c r="WAK22" s="1773"/>
      <c r="WAL22" s="1773"/>
      <c r="WAM22" s="1773"/>
      <c r="WAN22" s="1773"/>
      <c r="WAO22" s="1773"/>
      <c r="WAP22" s="1773"/>
      <c r="WAQ22" s="1773"/>
      <c r="WAR22" s="1773"/>
      <c r="WAS22" s="1773"/>
      <c r="WAT22" s="1773"/>
      <c r="WAU22" s="1773"/>
      <c r="WAV22" s="1773"/>
      <c r="WAW22" s="1773"/>
      <c r="WAX22" s="1773"/>
      <c r="WAY22" s="1773"/>
      <c r="WAZ22" s="1773"/>
      <c r="WBA22" s="1773"/>
      <c r="WBB22" s="1773"/>
      <c r="WBC22" s="1773"/>
      <c r="WBD22" s="1773"/>
      <c r="WBE22" s="1773"/>
      <c r="WBF22" s="1773"/>
      <c r="WBG22" s="1773"/>
      <c r="WBH22" s="1773"/>
      <c r="WBI22" s="1773"/>
      <c r="WBJ22" s="1773"/>
      <c r="WBK22" s="1773"/>
      <c r="WBL22" s="1773"/>
      <c r="WBM22" s="1773"/>
      <c r="WBN22" s="1773"/>
      <c r="WBO22" s="1773"/>
      <c r="WBP22" s="1773"/>
      <c r="WBQ22" s="1773"/>
      <c r="WBR22" s="1773"/>
      <c r="WBS22" s="1773"/>
      <c r="WBT22" s="1773"/>
      <c r="WBU22" s="1773"/>
      <c r="WBV22" s="1773"/>
      <c r="WBW22" s="1773"/>
      <c r="WBX22" s="1773"/>
      <c r="WBY22" s="1773"/>
      <c r="WBZ22" s="1773"/>
      <c r="WCA22" s="1773"/>
      <c r="WCB22" s="1773"/>
      <c r="WCC22" s="1773"/>
      <c r="WCD22" s="1773"/>
      <c r="WCE22" s="1773"/>
      <c r="WCF22" s="1773"/>
      <c r="WCG22" s="1773"/>
      <c r="WCH22" s="1773"/>
      <c r="WCI22" s="1773"/>
      <c r="WCJ22" s="1773"/>
      <c r="WCK22" s="1773"/>
      <c r="WCL22" s="1773"/>
      <c r="WCM22" s="1773"/>
      <c r="WCN22" s="1773"/>
      <c r="WCO22" s="1773"/>
      <c r="WCP22" s="1773"/>
      <c r="WCQ22" s="1773"/>
      <c r="WCR22" s="1773"/>
      <c r="WCS22" s="1773"/>
      <c r="WCT22" s="1773"/>
      <c r="WCU22" s="1773"/>
      <c r="WCV22" s="1773"/>
      <c r="WCW22" s="1773"/>
      <c r="WCX22" s="1773"/>
      <c r="WCY22" s="1773"/>
      <c r="WCZ22" s="1773"/>
      <c r="WDA22" s="1773"/>
      <c r="WDB22" s="1773"/>
      <c r="WDC22" s="1773"/>
      <c r="WDD22" s="1773"/>
      <c r="WDE22" s="1773"/>
      <c r="WDF22" s="1773"/>
      <c r="WDG22" s="1773"/>
      <c r="WDH22" s="1773"/>
      <c r="WDI22" s="1773"/>
      <c r="WDJ22" s="1773"/>
      <c r="WDK22" s="1773"/>
      <c r="WDL22" s="1773"/>
      <c r="WDM22" s="1773"/>
      <c r="WDN22" s="1773"/>
      <c r="WDO22" s="1773"/>
      <c r="WDP22" s="1773"/>
      <c r="WDQ22" s="1773"/>
      <c r="WDR22" s="1773"/>
      <c r="WDS22" s="1773"/>
      <c r="WDT22" s="1773"/>
      <c r="WDU22" s="1773"/>
      <c r="WDV22" s="1773"/>
      <c r="WDW22" s="1773"/>
      <c r="WDX22" s="1773"/>
      <c r="WDY22" s="1773"/>
      <c r="WDZ22" s="1773"/>
      <c r="WEA22" s="1773"/>
      <c r="WEB22" s="1773"/>
      <c r="WEC22" s="1773"/>
      <c r="WED22" s="1773"/>
      <c r="WEE22" s="1773"/>
      <c r="WEF22" s="1773"/>
      <c r="WEG22" s="1773"/>
      <c r="WEH22" s="1773"/>
      <c r="WEI22" s="1773"/>
      <c r="WEJ22" s="1773"/>
      <c r="WEK22" s="1773"/>
      <c r="WEL22" s="1773"/>
      <c r="WEM22" s="1773"/>
      <c r="WEN22" s="1773"/>
      <c r="WEO22" s="1773"/>
      <c r="WEP22" s="1773"/>
      <c r="WEQ22" s="1773"/>
      <c r="WER22" s="1773"/>
      <c r="WES22" s="1773"/>
      <c r="WET22" s="1773"/>
      <c r="WEU22" s="1773"/>
      <c r="WEV22" s="1773"/>
      <c r="WEW22" s="1773"/>
      <c r="WEX22" s="1773"/>
      <c r="WEY22" s="1773"/>
      <c r="WEZ22" s="1773"/>
      <c r="WFA22" s="1773"/>
      <c r="WFB22" s="1773"/>
      <c r="WFC22" s="1773"/>
      <c r="WFD22" s="1773"/>
      <c r="WFE22" s="1773"/>
      <c r="WFF22" s="1773"/>
      <c r="WFG22" s="1773"/>
      <c r="WFH22" s="1773"/>
      <c r="WFI22" s="1773"/>
      <c r="WFJ22" s="1773"/>
      <c r="WFK22" s="1773"/>
      <c r="WFL22" s="1773"/>
      <c r="WFM22" s="1773"/>
      <c r="WFN22" s="1773"/>
      <c r="WFO22" s="1773"/>
      <c r="WFP22" s="1773"/>
      <c r="WFQ22" s="1773"/>
      <c r="WFR22" s="1773"/>
      <c r="WFS22" s="1773"/>
      <c r="WFT22" s="1773"/>
      <c r="WFU22" s="1773"/>
      <c r="WFV22" s="1773"/>
      <c r="WFW22" s="1773"/>
      <c r="WFX22" s="1773"/>
      <c r="WFY22" s="1773"/>
      <c r="WFZ22" s="1773"/>
      <c r="WGA22" s="1773"/>
      <c r="WGB22" s="1773"/>
      <c r="WGC22" s="1773"/>
      <c r="WGD22" s="1773"/>
      <c r="WGE22" s="1773"/>
      <c r="WGF22" s="1773"/>
      <c r="WGG22" s="1773"/>
      <c r="WGH22" s="1773"/>
      <c r="WGI22" s="1773"/>
      <c r="WGJ22" s="1773"/>
      <c r="WGK22" s="1773"/>
      <c r="WGL22" s="1773"/>
      <c r="WGM22" s="1773"/>
      <c r="WGN22" s="1773"/>
      <c r="WGO22" s="1773"/>
      <c r="WGP22" s="1773"/>
      <c r="WGQ22" s="1773"/>
      <c r="WGR22" s="1773"/>
      <c r="WGS22" s="1773"/>
      <c r="WGT22" s="1773"/>
      <c r="WGU22" s="1773"/>
      <c r="WGV22" s="1773"/>
      <c r="WGW22" s="1773"/>
      <c r="WGX22" s="1773"/>
      <c r="WGY22" s="1773"/>
      <c r="WGZ22" s="1773"/>
      <c r="WHA22" s="1773"/>
      <c r="WHB22" s="1773"/>
      <c r="WHC22" s="1773"/>
      <c r="WHD22" s="1773"/>
      <c r="WHE22" s="1773"/>
      <c r="WHF22" s="1773"/>
      <c r="WHG22" s="1773"/>
      <c r="WHH22" s="1773"/>
      <c r="WHI22" s="1773"/>
      <c r="WHJ22" s="1773"/>
      <c r="WHK22" s="1773"/>
      <c r="WHL22" s="1773"/>
      <c r="WHM22" s="1773"/>
      <c r="WHN22" s="1773"/>
      <c r="WHO22" s="1773"/>
      <c r="WHP22" s="1773"/>
      <c r="WHQ22" s="1773"/>
      <c r="WHR22" s="1773"/>
      <c r="WHS22" s="1773"/>
      <c r="WHT22" s="1773"/>
      <c r="WHU22" s="1773"/>
      <c r="WHV22" s="1773"/>
      <c r="WHW22" s="1773"/>
      <c r="WHX22" s="1773"/>
      <c r="WHY22" s="1773"/>
      <c r="WHZ22" s="1773"/>
      <c r="WIA22" s="1773"/>
      <c r="WIB22" s="1773"/>
      <c r="WIC22" s="1773"/>
      <c r="WID22" s="1773"/>
      <c r="WIE22" s="1773"/>
      <c r="WIF22" s="1773"/>
      <c r="WIG22" s="1773"/>
      <c r="WIH22" s="1773"/>
      <c r="WII22" s="1773"/>
      <c r="WIJ22" s="1773"/>
      <c r="WIK22" s="1773"/>
      <c r="WIL22" s="1773"/>
      <c r="WIM22" s="1773"/>
      <c r="WIN22" s="1773"/>
      <c r="WIO22" s="1773"/>
      <c r="WIP22" s="1773"/>
      <c r="WIQ22" s="1773"/>
      <c r="WIR22" s="1773"/>
      <c r="WIS22" s="1773"/>
      <c r="WIT22" s="1773"/>
      <c r="WIU22" s="1773"/>
      <c r="WIV22" s="1773"/>
      <c r="WIW22" s="1773"/>
      <c r="WIX22" s="1773"/>
      <c r="WIY22" s="1773"/>
      <c r="WIZ22" s="1773"/>
      <c r="WJA22" s="1773"/>
      <c r="WJB22" s="1773"/>
      <c r="WJC22" s="1773"/>
      <c r="WJD22" s="1773"/>
      <c r="WJE22" s="1773"/>
      <c r="WJF22" s="1773"/>
      <c r="WJG22" s="1773"/>
      <c r="WJH22" s="1773"/>
      <c r="WJI22" s="1773"/>
      <c r="WJJ22" s="1773"/>
      <c r="WJK22" s="1773"/>
      <c r="WJL22" s="1773"/>
      <c r="WJM22" s="1773"/>
      <c r="WJN22" s="1773"/>
      <c r="WJO22" s="1773"/>
      <c r="WJP22" s="1773"/>
      <c r="WJQ22" s="1773"/>
      <c r="WJR22" s="1773"/>
      <c r="WJS22" s="1773"/>
      <c r="WJT22" s="1773"/>
      <c r="WJU22" s="1773"/>
      <c r="WJV22" s="1773"/>
      <c r="WJW22" s="1773"/>
      <c r="WJX22" s="1773"/>
      <c r="WJY22" s="1773"/>
      <c r="WJZ22" s="1773"/>
      <c r="WKA22" s="1773"/>
      <c r="WKB22" s="1773"/>
      <c r="WKC22" s="1773"/>
      <c r="WKD22" s="1773"/>
      <c r="WKE22" s="1773"/>
      <c r="WKF22" s="1773"/>
      <c r="WKG22" s="1773"/>
      <c r="WKH22" s="1773"/>
      <c r="WKI22" s="1773"/>
      <c r="WKJ22" s="1773"/>
      <c r="WKK22" s="1773"/>
      <c r="WKL22" s="1773"/>
      <c r="WKM22" s="1773"/>
      <c r="WKN22" s="1773"/>
      <c r="WKO22" s="1773"/>
      <c r="WKP22" s="1773"/>
      <c r="WKQ22" s="1773"/>
      <c r="WKR22" s="1773"/>
      <c r="WKS22" s="1773"/>
      <c r="WKT22" s="1773"/>
      <c r="WKU22" s="1773"/>
      <c r="WKV22" s="1773"/>
      <c r="WKW22" s="1773"/>
      <c r="WKX22" s="1773"/>
      <c r="WKY22" s="1773"/>
      <c r="WKZ22" s="1773"/>
      <c r="WLA22" s="1773"/>
      <c r="WLB22" s="1773"/>
      <c r="WLC22" s="1773"/>
      <c r="WLD22" s="1773"/>
      <c r="WLE22" s="1773"/>
      <c r="WLF22" s="1773"/>
      <c r="WLG22" s="1773"/>
      <c r="WLH22" s="1773"/>
      <c r="WLI22" s="1773"/>
      <c r="WLJ22" s="1773"/>
      <c r="WLK22" s="1773"/>
      <c r="WLL22" s="1773"/>
      <c r="WLM22" s="1773"/>
      <c r="WLN22" s="1773"/>
      <c r="WLO22" s="1773"/>
      <c r="WLP22" s="1773"/>
      <c r="WLQ22" s="1773"/>
      <c r="WLR22" s="1773"/>
      <c r="WLS22" s="1773"/>
      <c r="WLT22" s="1773"/>
      <c r="WLU22" s="1773"/>
      <c r="WLV22" s="1773"/>
      <c r="WLW22" s="1773"/>
      <c r="WLX22" s="1773"/>
      <c r="WLY22" s="1773"/>
      <c r="WLZ22" s="1773"/>
      <c r="WMA22" s="1773"/>
      <c r="WMB22" s="1773"/>
      <c r="WMC22" s="1773"/>
      <c r="WMD22" s="1773"/>
      <c r="WME22" s="1773"/>
      <c r="WMF22" s="1773"/>
      <c r="WMG22" s="1773"/>
      <c r="WMH22" s="1773"/>
      <c r="WMI22" s="1773"/>
      <c r="WMJ22" s="1773"/>
      <c r="WMK22" s="1773"/>
      <c r="WML22" s="1773"/>
      <c r="WMM22" s="1773"/>
      <c r="WMN22" s="1773"/>
      <c r="WMO22" s="1773"/>
      <c r="WMP22" s="1773"/>
      <c r="WMQ22" s="1773"/>
      <c r="WMR22" s="1773"/>
      <c r="WMS22" s="1773"/>
      <c r="WMT22" s="1773"/>
      <c r="WMU22" s="1773"/>
      <c r="WMV22" s="1773"/>
      <c r="WMW22" s="1773"/>
      <c r="WMX22" s="1773"/>
      <c r="WMY22" s="1773"/>
      <c r="WMZ22" s="1773"/>
      <c r="WNA22" s="1773"/>
      <c r="WNB22" s="1773"/>
      <c r="WNC22" s="1773"/>
      <c r="WND22" s="1773"/>
      <c r="WNE22" s="1773"/>
      <c r="WNF22" s="1773"/>
      <c r="WNG22" s="1773"/>
      <c r="WNH22" s="1773"/>
      <c r="WNI22" s="1773"/>
      <c r="WNJ22" s="1773"/>
      <c r="WNK22" s="1773"/>
      <c r="WNL22" s="1773"/>
      <c r="WNM22" s="1773"/>
      <c r="WNN22" s="1773"/>
      <c r="WNO22" s="1773"/>
      <c r="WNP22" s="1773"/>
      <c r="WNQ22" s="1773"/>
      <c r="WNR22" s="1773"/>
      <c r="WNS22" s="1773"/>
      <c r="WNT22" s="1773"/>
      <c r="WNU22" s="1773"/>
      <c r="WNV22" s="1773"/>
      <c r="WNW22" s="1773"/>
      <c r="WNX22" s="1773"/>
      <c r="WNY22" s="1773"/>
      <c r="WNZ22" s="1773"/>
      <c r="WOA22" s="1773"/>
      <c r="WOB22" s="1773"/>
      <c r="WOC22" s="1773"/>
      <c r="WOD22" s="1773"/>
      <c r="WOE22" s="1773"/>
      <c r="WOF22" s="1773"/>
      <c r="WOG22" s="1773"/>
      <c r="WOH22" s="1773"/>
      <c r="WOI22" s="1773"/>
      <c r="WOJ22" s="1773"/>
      <c r="WOK22" s="1773"/>
      <c r="WOL22" s="1773"/>
      <c r="WOM22" s="1773"/>
      <c r="WON22" s="1773"/>
      <c r="WOO22" s="1773"/>
      <c r="WOP22" s="1773"/>
      <c r="WOQ22" s="1773"/>
      <c r="WOR22" s="1773"/>
      <c r="WOS22" s="1773"/>
      <c r="WOT22" s="1773"/>
      <c r="WOU22" s="1773"/>
      <c r="WOV22" s="1773"/>
      <c r="WOW22" s="1773"/>
      <c r="WOX22" s="1773"/>
      <c r="WOY22" s="1773"/>
      <c r="WOZ22" s="1773"/>
      <c r="WPA22" s="1773"/>
      <c r="WPB22" s="1773"/>
      <c r="WPC22" s="1773"/>
      <c r="WPD22" s="1773"/>
      <c r="WPE22" s="1773"/>
      <c r="WPF22" s="1773"/>
      <c r="WPG22" s="1773"/>
      <c r="WPH22" s="1773"/>
      <c r="WPI22" s="1773"/>
      <c r="WPJ22" s="1773"/>
      <c r="WPK22" s="1773"/>
      <c r="WPL22" s="1773"/>
      <c r="WPM22" s="1773"/>
      <c r="WPN22" s="1773"/>
      <c r="WPO22" s="1773"/>
      <c r="WPP22" s="1773"/>
      <c r="WPQ22" s="1773"/>
      <c r="WPR22" s="1773"/>
      <c r="WPS22" s="1773"/>
      <c r="WPT22" s="1773"/>
      <c r="WPU22" s="1773"/>
      <c r="WPV22" s="1773"/>
      <c r="WPW22" s="1773"/>
      <c r="WPX22" s="1773"/>
      <c r="WPY22" s="1773"/>
      <c r="WPZ22" s="1773"/>
      <c r="WQA22" s="1773"/>
      <c r="WQB22" s="1773"/>
      <c r="WQC22" s="1773"/>
      <c r="WQD22" s="1773"/>
      <c r="WQE22" s="1773"/>
      <c r="WQF22" s="1773"/>
      <c r="WQG22" s="1773"/>
      <c r="WQH22" s="1773"/>
      <c r="WQI22" s="1773"/>
      <c r="WQJ22" s="1773"/>
      <c r="WQK22" s="1773"/>
      <c r="WQL22" s="1773"/>
      <c r="WQM22" s="1773"/>
      <c r="WQN22" s="1773"/>
      <c r="WQO22" s="1773"/>
      <c r="WQP22" s="1773"/>
      <c r="WQQ22" s="1773"/>
      <c r="WQR22" s="1773"/>
      <c r="WQS22" s="1773"/>
      <c r="WQT22" s="1773"/>
      <c r="WQU22" s="1773"/>
      <c r="WQV22" s="1773"/>
      <c r="WQW22" s="1773"/>
      <c r="WQX22" s="1773"/>
      <c r="WQY22" s="1773"/>
      <c r="WQZ22" s="1773"/>
      <c r="WRA22" s="1773"/>
      <c r="WRB22" s="1773"/>
      <c r="WRC22" s="1773"/>
      <c r="WRD22" s="1773"/>
      <c r="WRE22" s="1773"/>
      <c r="WRF22" s="1773"/>
      <c r="WRG22" s="1773"/>
      <c r="WRH22" s="1773"/>
      <c r="WRI22" s="1773"/>
      <c r="WRJ22" s="1773"/>
      <c r="WRK22" s="1773"/>
      <c r="WRL22" s="1773"/>
      <c r="WRM22" s="1773"/>
      <c r="WRN22" s="1773"/>
      <c r="WRO22" s="1773"/>
      <c r="WRP22" s="1773"/>
      <c r="WRQ22" s="1773"/>
      <c r="WRR22" s="1773"/>
      <c r="WRS22" s="1773"/>
      <c r="WRT22" s="1773"/>
      <c r="WRU22" s="1773"/>
      <c r="WRV22" s="1773"/>
      <c r="WRW22" s="1773"/>
      <c r="WRX22" s="1773"/>
      <c r="WRY22" s="1773"/>
      <c r="WRZ22" s="1773"/>
      <c r="WSA22" s="1773"/>
      <c r="WSB22" s="1773"/>
      <c r="WSC22" s="1773"/>
      <c r="WSD22" s="1773"/>
      <c r="WSE22" s="1773"/>
      <c r="WSF22" s="1773"/>
      <c r="WSG22" s="1773"/>
      <c r="WSH22" s="1773"/>
      <c r="WSI22" s="1773"/>
      <c r="WSJ22" s="1773"/>
      <c r="WSK22" s="1773"/>
      <c r="WSL22" s="1773"/>
      <c r="WSM22" s="1773"/>
      <c r="WSN22" s="1773"/>
      <c r="WSO22" s="1773"/>
      <c r="WSP22" s="1773"/>
      <c r="WSQ22" s="1773"/>
      <c r="WSR22" s="1773"/>
      <c r="WSS22" s="1773"/>
      <c r="WST22" s="1773"/>
      <c r="WSU22" s="1773"/>
      <c r="WSV22" s="1773"/>
      <c r="WSW22" s="1773"/>
      <c r="WSX22" s="1773"/>
      <c r="WSY22" s="1773"/>
      <c r="WSZ22" s="1773"/>
      <c r="WTA22" s="1773"/>
      <c r="WTB22" s="1773"/>
      <c r="WTC22" s="1773"/>
      <c r="WTD22" s="1773"/>
      <c r="WTE22" s="1773"/>
      <c r="WTF22" s="1773"/>
      <c r="WTG22" s="1773"/>
      <c r="WTH22" s="1773"/>
      <c r="WTI22" s="1773"/>
      <c r="WTJ22" s="1773"/>
      <c r="WTK22" s="1773"/>
      <c r="WTL22" s="1773"/>
      <c r="WTM22" s="1773"/>
      <c r="WTN22" s="1773"/>
      <c r="WTO22" s="1773"/>
      <c r="WTP22" s="1773"/>
      <c r="WTQ22" s="1773"/>
      <c r="WTR22" s="1773"/>
      <c r="WTS22" s="1773"/>
      <c r="WTT22" s="1773"/>
      <c r="WTU22" s="1773"/>
      <c r="WTV22" s="1773"/>
      <c r="WTW22" s="1773"/>
      <c r="WTX22" s="1773"/>
      <c r="WTY22" s="1773"/>
      <c r="WTZ22" s="1773"/>
      <c r="WUA22" s="1773"/>
      <c r="WUB22" s="1773"/>
      <c r="WUC22" s="1773"/>
      <c r="WUD22" s="1773"/>
      <c r="WUE22" s="1773"/>
      <c r="WUF22" s="1773"/>
      <c r="WUG22" s="1773"/>
      <c r="WUH22" s="1773"/>
      <c r="WUI22" s="1773"/>
      <c r="WUJ22" s="1773"/>
      <c r="WUK22" s="1773"/>
      <c r="WUL22" s="1773"/>
      <c r="WUM22" s="1773"/>
      <c r="WUN22" s="1773"/>
      <c r="WUO22" s="1773"/>
      <c r="WUP22" s="1773"/>
      <c r="WUQ22" s="1773"/>
      <c r="WUR22" s="1773"/>
      <c r="WUS22" s="1773"/>
      <c r="WUT22" s="1773"/>
      <c r="WUU22" s="1773"/>
      <c r="WUV22" s="1773"/>
      <c r="WUW22" s="1773"/>
      <c r="WUX22" s="1773"/>
      <c r="WUY22" s="1773"/>
      <c r="WUZ22" s="1773"/>
      <c r="WVA22" s="1773"/>
      <c r="WVB22" s="1773"/>
      <c r="WVC22" s="1773"/>
      <c r="WVD22" s="1773"/>
      <c r="WVE22" s="1773"/>
      <c r="WVF22" s="1773"/>
      <c r="WVG22" s="1773"/>
      <c r="WVH22" s="1773"/>
      <c r="WVI22" s="1773"/>
      <c r="WVJ22" s="1773"/>
      <c r="WVK22" s="1773"/>
      <c r="WVL22" s="1773"/>
      <c r="WVM22" s="1773"/>
      <c r="WVN22" s="1773"/>
      <c r="WVO22" s="1773"/>
      <c r="WVP22" s="1773"/>
      <c r="WVQ22" s="1773"/>
      <c r="WVR22" s="1773"/>
      <c r="WVS22" s="1773"/>
      <c r="WVT22" s="1773"/>
      <c r="WVU22" s="1773"/>
      <c r="WVV22" s="1773"/>
      <c r="WVW22" s="1773"/>
      <c r="WVX22" s="1773"/>
      <c r="WVY22" s="1773"/>
      <c r="WVZ22" s="1773"/>
      <c r="WWA22" s="1773"/>
      <c r="WWB22" s="1773"/>
      <c r="WWC22" s="1773"/>
      <c r="WWD22" s="1773"/>
      <c r="WWE22" s="1773"/>
      <c r="WWF22" s="1773"/>
      <c r="WWG22" s="1773"/>
      <c r="WWH22" s="1773"/>
      <c r="WWI22" s="1773"/>
      <c r="WWJ22" s="1773"/>
      <c r="WWK22" s="1773"/>
      <c r="WWL22" s="1773"/>
      <c r="WWM22" s="1773"/>
      <c r="WWN22" s="1773"/>
      <c r="WWO22" s="1773"/>
      <c r="WWP22" s="1773"/>
      <c r="WWQ22" s="1773"/>
      <c r="WWR22" s="1773"/>
      <c r="WWS22" s="1773"/>
      <c r="WWT22" s="1773"/>
      <c r="WWU22" s="1773"/>
      <c r="WWV22" s="1773"/>
      <c r="WWW22" s="1773"/>
      <c r="WWX22" s="1773"/>
      <c r="WWY22" s="1773"/>
      <c r="WWZ22" s="1773"/>
      <c r="WXA22" s="1773"/>
      <c r="WXB22" s="1773"/>
      <c r="WXC22" s="1773"/>
      <c r="WXD22" s="1773"/>
      <c r="WXE22" s="1773"/>
      <c r="WXF22" s="1773"/>
      <c r="WXG22" s="1773"/>
      <c r="WXH22" s="1773"/>
      <c r="WXI22" s="1773"/>
      <c r="WXJ22" s="1773"/>
      <c r="WXK22" s="1773"/>
      <c r="WXL22" s="1773"/>
      <c r="WXM22" s="1773"/>
      <c r="WXN22" s="1773"/>
      <c r="WXO22" s="1773"/>
      <c r="WXP22" s="1773"/>
      <c r="WXQ22" s="1773"/>
      <c r="WXR22" s="1773"/>
      <c r="WXS22" s="1773"/>
      <c r="WXT22" s="1773"/>
      <c r="WXU22" s="1773"/>
      <c r="WXV22" s="1773"/>
      <c r="WXW22" s="1773"/>
      <c r="WXX22" s="1773"/>
      <c r="WXY22" s="1773"/>
      <c r="WXZ22" s="1773"/>
      <c r="WYA22" s="1773"/>
      <c r="WYB22" s="1773"/>
      <c r="WYC22" s="1773"/>
      <c r="WYD22" s="1773"/>
      <c r="WYE22" s="1773"/>
      <c r="WYF22" s="1773"/>
      <c r="WYG22" s="1773"/>
      <c r="WYH22" s="1773"/>
      <c r="WYI22" s="1773"/>
      <c r="WYJ22" s="1773"/>
      <c r="WYK22" s="1773"/>
      <c r="WYL22" s="1773"/>
      <c r="WYM22" s="1773"/>
      <c r="WYN22" s="1773"/>
      <c r="WYO22" s="1773"/>
      <c r="WYP22" s="1773"/>
      <c r="WYQ22" s="1773"/>
      <c r="WYR22" s="1773"/>
      <c r="WYS22" s="1773"/>
      <c r="WYT22" s="1773"/>
      <c r="WYU22" s="1773"/>
      <c r="WYV22" s="1773"/>
      <c r="WYW22" s="1773"/>
      <c r="WYX22" s="1773"/>
      <c r="WYY22" s="1773"/>
      <c r="WYZ22" s="1773"/>
      <c r="WZA22" s="1773"/>
      <c r="WZB22" s="1773"/>
      <c r="WZC22" s="1773"/>
      <c r="WZD22" s="1773"/>
      <c r="WZE22" s="1773"/>
      <c r="WZF22" s="1773"/>
      <c r="WZG22" s="1773"/>
      <c r="WZH22" s="1773"/>
      <c r="WZI22" s="1773"/>
      <c r="WZJ22" s="1773"/>
      <c r="WZK22" s="1773"/>
      <c r="WZL22" s="1773"/>
      <c r="WZM22" s="1773"/>
      <c r="WZN22" s="1773"/>
      <c r="WZO22" s="1773"/>
      <c r="WZP22" s="1773"/>
      <c r="WZQ22" s="1773"/>
      <c r="WZR22" s="1773"/>
      <c r="WZS22" s="1773"/>
      <c r="WZT22" s="1773"/>
      <c r="WZU22" s="1773"/>
      <c r="WZV22" s="1773"/>
      <c r="WZW22" s="1773"/>
      <c r="WZX22" s="1773"/>
      <c r="WZY22" s="1773"/>
      <c r="WZZ22" s="1773"/>
      <c r="XAA22" s="1773"/>
      <c r="XAB22" s="1773"/>
      <c r="XAC22" s="1773"/>
      <c r="XAD22" s="1773"/>
      <c r="XAE22" s="1773"/>
      <c r="XAF22" s="1773"/>
      <c r="XAG22" s="1773"/>
      <c r="XAH22" s="1773"/>
      <c r="XAI22" s="1773"/>
      <c r="XAJ22" s="1773"/>
      <c r="XAK22" s="1773"/>
      <c r="XAL22" s="1773"/>
      <c r="XAM22" s="1773"/>
      <c r="XAN22" s="1773"/>
      <c r="XAO22" s="1773"/>
      <c r="XAP22" s="1773"/>
      <c r="XAQ22" s="1773"/>
      <c r="XAR22" s="1773"/>
      <c r="XAS22" s="1773"/>
      <c r="XAT22" s="1773"/>
      <c r="XAU22" s="1773"/>
      <c r="XAV22" s="1773"/>
      <c r="XAW22" s="1773"/>
      <c r="XAX22" s="1773"/>
      <c r="XAY22" s="1773"/>
      <c r="XAZ22" s="1773"/>
      <c r="XBA22" s="1773"/>
      <c r="XBB22" s="1773"/>
      <c r="XBC22" s="1773"/>
      <c r="XBD22" s="1773"/>
      <c r="XBE22" s="1773"/>
      <c r="XBF22" s="1773"/>
      <c r="XBG22" s="1773"/>
      <c r="XBH22" s="1773"/>
      <c r="XBI22" s="1773"/>
      <c r="XBJ22" s="1773"/>
      <c r="XBK22" s="1773"/>
      <c r="XBL22" s="1773"/>
      <c r="XBM22" s="1773"/>
      <c r="XBN22" s="1773"/>
      <c r="XBO22" s="1773"/>
      <c r="XBP22" s="1773"/>
      <c r="XBQ22" s="1773"/>
      <c r="XBR22" s="1773"/>
      <c r="XBS22" s="1773"/>
      <c r="XBT22" s="1773"/>
      <c r="XBU22" s="1773"/>
      <c r="XBV22" s="1773"/>
      <c r="XBW22" s="1773"/>
      <c r="XBX22" s="1773"/>
      <c r="XBY22" s="1773"/>
      <c r="XBZ22" s="1773"/>
      <c r="XCA22" s="1773"/>
      <c r="XCB22" s="1773"/>
      <c r="XCC22" s="1773"/>
      <c r="XCD22" s="1773"/>
      <c r="XCE22" s="1773"/>
      <c r="XCF22" s="1773"/>
      <c r="XCG22" s="1773"/>
      <c r="XCH22" s="1773"/>
      <c r="XCI22" s="1773"/>
      <c r="XCJ22" s="1773"/>
      <c r="XCK22" s="1773"/>
      <c r="XCL22" s="1773"/>
      <c r="XCM22" s="1773"/>
      <c r="XCN22" s="1773"/>
      <c r="XCO22" s="1773"/>
      <c r="XCP22" s="1773"/>
      <c r="XCQ22" s="1773"/>
      <c r="XCR22" s="1773"/>
      <c r="XCS22" s="1773"/>
      <c r="XCT22" s="1773"/>
      <c r="XCU22" s="1773"/>
      <c r="XCV22" s="1773"/>
      <c r="XCW22" s="1773"/>
      <c r="XCX22" s="1773"/>
      <c r="XCY22" s="1773"/>
      <c r="XCZ22" s="1773"/>
      <c r="XDA22" s="1773"/>
      <c r="XDB22" s="1773"/>
      <c r="XDC22" s="1773"/>
      <c r="XDD22" s="1773"/>
      <c r="XDE22" s="1773"/>
      <c r="XDF22" s="1773"/>
      <c r="XDG22" s="1773"/>
      <c r="XDH22" s="1773"/>
      <c r="XDI22" s="1773"/>
      <c r="XDJ22" s="1773"/>
      <c r="XDK22" s="1773"/>
      <c r="XDL22" s="1773"/>
      <c r="XDM22" s="1773"/>
      <c r="XDN22" s="1773"/>
      <c r="XDO22" s="1773"/>
      <c r="XDP22" s="1773"/>
      <c r="XDQ22" s="1773"/>
      <c r="XDR22" s="1773"/>
      <c r="XDS22" s="1773"/>
      <c r="XDT22" s="1773"/>
      <c r="XDU22" s="1773"/>
      <c r="XDV22" s="1773"/>
      <c r="XDW22" s="1773"/>
      <c r="XDX22" s="1773"/>
      <c r="XDY22" s="1773"/>
      <c r="XDZ22" s="1773"/>
      <c r="XEA22" s="1773"/>
      <c r="XEB22" s="1773"/>
      <c r="XEC22" s="1773"/>
      <c r="XED22" s="1773"/>
      <c r="XEE22" s="1773"/>
      <c r="XEF22" s="1773"/>
      <c r="XEG22" s="1773"/>
      <c r="XEH22" s="1773"/>
      <c r="XEI22" s="1773"/>
      <c r="XEJ22" s="1773"/>
      <c r="XEK22" s="1773"/>
      <c r="XEL22" s="1773"/>
      <c r="XEM22" s="1773"/>
      <c r="XEN22" s="1773"/>
      <c r="XEO22" s="1773"/>
      <c r="XEP22" s="1773"/>
      <c r="XEQ22" s="1773"/>
      <c r="XER22" s="1773"/>
      <c r="XES22" s="1773"/>
      <c r="XET22" s="1773"/>
      <c r="XEU22" s="1773"/>
      <c r="XEV22" s="1773"/>
      <c r="XEW22" s="1773"/>
      <c r="XEX22" s="1773"/>
      <c r="XEY22" s="1773"/>
      <c r="XEZ22" s="1773"/>
      <c r="XFA22" s="1773"/>
    </row>
    <row r="23" spans="1:16381" ht="18" customHeight="1">
      <c r="A23" s="77"/>
      <c r="B23" s="77"/>
      <c r="C23" s="77"/>
      <c r="Z23" s="73"/>
      <c r="AA23" s="73"/>
      <c r="AB23" s="73"/>
      <c r="AC23" s="73"/>
      <c r="AD23" s="73"/>
    </row>
    <row r="24" spans="1:16381" ht="18" customHeight="1">
      <c r="A24" s="77"/>
      <c r="B24" s="77"/>
      <c r="C24" s="77"/>
      <c r="Z24" s="73"/>
      <c r="AA24" s="73"/>
      <c r="AB24" s="73"/>
      <c r="AC24" s="73"/>
      <c r="AD24" s="73"/>
    </row>
    <row r="25" spans="1:16381" ht="18" customHeight="1">
      <c r="A25" s="77"/>
      <c r="B25" s="77"/>
      <c r="C25" s="77"/>
      <c r="Z25" s="73"/>
      <c r="AA25" s="73"/>
      <c r="AB25" s="73"/>
      <c r="AC25" s="73"/>
      <c r="AD25" s="73"/>
    </row>
    <row r="26" spans="1:16381" ht="18" customHeight="1">
      <c r="A26" s="77"/>
      <c r="B26" s="77"/>
      <c r="C26" s="77"/>
      <c r="Z26" s="73"/>
      <c r="AA26" s="73"/>
      <c r="AB26" s="73"/>
      <c r="AC26" s="73"/>
      <c r="AD26" s="73"/>
    </row>
    <row r="27" spans="1:16381" ht="18" customHeight="1">
      <c r="A27" s="77"/>
      <c r="B27" s="77"/>
      <c r="C27" s="77"/>
      <c r="Z27" s="73"/>
      <c r="AA27" s="73"/>
      <c r="AB27" s="73"/>
      <c r="AC27" s="73"/>
      <c r="AD27" s="73"/>
    </row>
    <row r="28" spans="1:16381" ht="27.75" customHeight="1">
      <c r="A28" s="77"/>
      <c r="B28" s="77"/>
      <c r="C28" s="77"/>
      <c r="Z28" s="73"/>
      <c r="AA28" s="73"/>
      <c r="AB28" s="73"/>
      <c r="AC28" s="73"/>
      <c r="AD28" s="73"/>
    </row>
    <row r="29" spans="1:16381" ht="32.25" customHeight="1">
      <c r="A29" s="77"/>
      <c r="B29" s="77"/>
      <c r="C29" s="77"/>
      <c r="Z29" s="73"/>
      <c r="AA29" s="73"/>
      <c r="AB29" s="73"/>
      <c r="AC29" s="73"/>
      <c r="AD29" s="73"/>
    </row>
    <row r="30" spans="1:16381" ht="18" customHeight="1">
      <c r="A30" s="77"/>
      <c r="B30" s="77"/>
      <c r="C30" s="77"/>
      <c r="Z30" s="73"/>
      <c r="AA30" s="73"/>
      <c r="AB30" s="73"/>
      <c r="AC30" s="73"/>
      <c r="AD30" s="73"/>
    </row>
    <row r="31" spans="1:16381" s="77" customFormat="1" ht="21.75" customHeight="1"/>
    <row r="32" spans="1:16381" s="77" customFormat="1" ht="18" customHeight="1"/>
    <row r="33" spans="1:29" s="238" customFormat="1" ht="12" customHeight="1">
      <c r="A33" s="1586"/>
      <c r="B33" s="1585"/>
      <c r="C33" s="1585"/>
      <c r="D33" s="344"/>
      <c r="E33" s="344"/>
      <c r="F33" s="344"/>
      <c r="G33" s="344"/>
      <c r="H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</row>
    <row r="34" spans="1:29" ht="15.75">
      <c r="B34" s="429"/>
    </row>
    <row r="35" spans="1:29" ht="15.75">
      <c r="B35" s="429"/>
    </row>
  </sheetData>
  <mergeCells count="11">
    <mergeCell ref="B2:H2"/>
    <mergeCell ref="D4:E4"/>
    <mergeCell ref="B14:B16"/>
    <mergeCell ref="D3:H3"/>
    <mergeCell ref="F4:H4"/>
    <mergeCell ref="B3:C6"/>
    <mergeCell ref="B7:B13"/>
    <mergeCell ref="D5:E5"/>
    <mergeCell ref="F5:F6"/>
    <mergeCell ref="G5:G6"/>
    <mergeCell ref="H5:H6"/>
  </mergeCells>
  <conditionalFormatting sqref="D5 D6:E6 F5:H5">
    <cfRule type="cellIs" dxfId="14" priority="21" operator="equal">
      <formula>0</formula>
    </cfRule>
  </conditionalFormatting>
  <conditionalFormatting sqref="D7:H16">
    <cfRule type="cellIs" dxfId="13" priority="2" operator="equal">
      <formula>0</formula>
    </cfRule>
  </conditionalFormatting>
  <conditionalFormatting sqref="C7:C16">
    <cfRule type="cellIs" dxfId="12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48" orientation="landscape" useFirstPageNumber="1" r:id="rId1"/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AE46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B3" sqref="B3:D5"/>
    </sheetView>
  </sheetViews>
  <sheetFormatPr defaultColWidth="8.85546875" defaultRowHeight="12.75"/>
  <cols>
    <col min="1" max="1" width="3.5703125" style="73" customWidth="1"/>
    <col min="2" max="2" width="10.7109375" style="73" customWidth="1"/>
    <col min="3" max="3" width="11.28515625" style="73" customWidth="1"/>
    <col min="4" max="4" width="31.85546875" style="73" customWidth="1"/>
    <col min="5" max="11" width="18.42578125" style="77" customWidth="1"/>
    <col min="12" max="31" width="8.85546875" style="77"/>
    <col min="32" max="16384" width="8.85546875" style="73"/>
  </cols>
  <sheetData>
    <row r="1" spans="1:31" ht="18" customHeight="1">
      <c r="A1" s="13"/>
      <c r="B1" s="1034" t="s">
        <v>307</v>
      </c>
      <c r="C1" s="1034"/>
      <c r="D1" s="1034"/>
      <c r="E1" s="2427"/>
      <c r="F1" s="2427"/>
      <c r="G1" s="2427"/>
      <c r="H1" s="2427"/>
      <c r="I1" s="2427"/>
      <c r="J1" s="2427"/>
      <c r="K1" s="2427"/>
    </row>
    <row r="2" spans="1:31" ht="15">
      <c r="A2" s="13"/>
      <c r="B2" s="3381" t="s">
        <v>1778</v>
      </c>
      <c r="C2" s="3382"/>
      <c r="D2" s="3382"/>
      <c r="E2" s="3382"/>
      <c r="F2" s="3382"/>
      <c r="G2" s="3382"/>
      <c r="H2" s="3382"/>
      <c r="I2" s="3382"/>
      <c r="J2" s="3382"/>
      <c r="K2" s="3382"/>
    </row>
    <row r="3" spans="1:31" s="74" customFormat="1" ht="17.25" customHeight="1">
      <c r="A3" s="77"/>
      <c r="B3" s="2680" t="s">
        <v>1746</v>
      </c>
      <c r="C3" s="2680"/>
      <c r="D3" s="2680"/>
      <c r="E3" s="3396" t="s">
        <v>1764</v>
      </c>
      <c r="F3" s="3397"/>
      <c r="G3" s="3398"/>
      <c r="H3" s="3399" t="s">
        <v>2213</v>
      </c>
      <c r="I3" s="3400"/>
      <c r="J3" s="3401"/>
      <c r="K3" s="2453" t="s">
        <v>670</v>
      </c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31" s="75" customFormat="1" ht="24">
      <c r="A4" s="342"/>
      <c r="B4" s="2680"/>
      <c r="C4" s="2680"/>
      <c r="D4" s="2680"/>
      <c r="E4" s="2431" t="s">
        <v>2214</v>
      </c>
      <c r="F4" s="2829" t="s">
        <v>2215</v>
      </c>
      <c r="G4" s="2829"/>
      <c r="H4" s="2431" t="s">
        <v>2214</v>
      </c>
      <c r="I4" s="2829" t="s">
        <v>2215</v>
      </c>
      <c r="J4" s="2829"/>
      <c r="K4" s="2431" t="s">
        <v>2214</v>
      </c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</row>
    <row r="5" spans="1:31" s="76" customFormat="1" ht="15" customHeight="1">
      <c r="A5" s="1147"/>
      <c r="B5" s="2680"/>
      <c r="C5" s="2680"/>
      <c r="D5" s="2680"/>
      <c r="E5" s="2432" t="s">
        <v>157</v>
      </c>
      <c r="F5" s="2432" t="s">
        <v>2216</v>
      </c>
      <c r="G5" s="2432" t="s">
        <v>1165</v>
      </c>
      <c r="H5" s="2432" t="s">
        <v>157</v>
      </c>
      <c r="I5" s="2432" t="s">
        <v>2216</v>
      </c>
      <c r="J5" s="2432" t="s">
        <v>1165</v>
      </c>
      <c r="K5" s="2432" t="s">
        <v>157</v>
      </c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</row>
    <row r="6" spans="1:31" ht="27.75" customHeight="1">
      <c r="A6" s="1147"/>
      <c r="B6" s="3377" t="s">
        <v>1747</v>
      </c>
      <c r="C6" s="3378"/>
      <c r="D6" s="2279" t="str">
        <f>Перегородки_база!C19</f>
        <v>прозрачное Флоат 
(прозрачная пленка)</v>
      </c>
      <c r="E6" s="2415">
        <f>Перегородки_база!L19*(1+скидки_наценки!$B$28)*скидки_наценки!$D$19*скидки_наценки!$F$19/скидки_наценки!$B$4</f>
        <v>23610</v>
      </c>
      <c r="F6" s="2416">
        <f>Перегородки_база!M19*(1+скидки_наценки!$B$28)*скидки_наценки!$D$19*скидки_наценки!$F$19/скидки_наценки!$B$4</f>
        <v>25980</v>
      </c>
      <c r="G6" s="2415">
        <f>Перегородки_база!N19*(1+скидки_наценки!$B$28)*скидки_наценки!$D$19*скидки_наценки!$F$19/скидки_наценки!$B$4</f>
        <v>27160</v>
      </c>
      <c r="H6" s="2416">
        <f>Перегородки_база!O19*(1+скидки_наценки!$B$28)*скидки_наценки!$D$19*скидки_наценки!$F$19/скидки_наценки!$B$4</f>
        <v>21460</v>
      </c>
      <c r="I6" s="2415">
        <f>Перегородки_база!P19*(1+скидки_наценки!$B$28)*скидки_наценки!$D$19*скидки_наценки!$F$19/скидки_наценки!$B$4</f>
        <v>23610</v>
      </c>
      <c r="J6" s="2416">
        <f>Перегородки_база!Q19*(1+скидки_наценки!$B$28)*скидки_наценки!$D$19*скидки_наценки!$F$19/скидки_наценки!$B$4</f>
        <v>24680</v>
      </c>
      <c r="K6" s="2415">
        <f>Перегородки_база!R19*(1+скидки_наценки!$B$28)*скидки_наценки!$D$19*скидки_наценки!$F$19/скидки_наценки!$B$4</f>
        <v>36940</v>
      </c>
      <c r="AA6" s="73"/>
      <c r="AB6" s="73"/>
      <c r="AC6" s="73"/>
      <c r="AD6" s="73"/>
      <c r="AE6" s="73"/>
    </row>
    <row r="7" spans="1:31" s="76" customFormat="1" ht="27.75" customHeight="1">
      <c r="A7" s="1147"/>
      <c r="B7" s="3379"/>
      <c r="C7" s="3380"/>
      <c r="D7" s="2280" t="str">
        <f>Перегородки_база!C20</f>
        <v>Бронза, Грей 
(прозрачная пленка)</v>
      </c>
      <c r="E7" s="2417">
        <f>Перегородки_база!L20*(1+скидки_наценки!$B$28)*скидки_наценки!$D$19*скидки_наценки!$F$19/скидки_наценки!$B$4</f>
        <v>24800</v>
      </c>
      <c r="F7" s="2418">
        <f>Перегородки_база!M20*(1+скидки_наценки!$B$28)*скидки_наценки!$D$19*скидки_наценки!$F$19/скидки_наценки!$B$4</f>
        <v>27280</v>
      </c>
      <c r="G7" s="2448">
        <f>Перегородки_база!N20*(1+скидки_наценки!$B$28)*скидки_наценки!$D$19*скидки_наценки!$F$19/скидки_наценки!$B$4</f>
        <v>28520</v>
      </c>
      <c r="H7" s="2417">
        <f>Перегородки_база!O20*(1+скидки_наценки!$B$28)*скидки_наценки!$D$19*скидки_наценки!$F$19/скидки_наценки!$B$4</f>
        <v>22540</v>
      </c>
      <c r="I7" s="2418">
        <f>Перегородки_база!P20*(1+скидки_наценки!$B$28)*скидки_наценки!$D$19*скидки_наценки!$F$19/скидки_наценки!$B$4</f>
        <v>24800</v>
      </c>
      <c r="J7" s="2418">
        <f>Перегородки_база!Q20*(1+скидки_наценки!$B$28)*скидки_наценки!$D$19*скидки_наценки!$F$19/скидки_наценки!$B$4</f>
        <v>25920</v>
      </c>
      <c r="K7" s="2418">
        <f>Перегородки_база!R20*(1+скидки_наценки!$B$28)*скидки_наценки!$D$19*скидки_наценки!$F$19/скидки_наценки!$B$4</f>
        <v>38790</v>
      </c>
      <c r="O7" s="343"/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</row>
    <row r="8" spans="1:31" s="76" customFormat="1" ht="27.75" customHeight="1">
      <c r="A8" s="1147"/>
      <c r="B8" s="3379"/>
      <c r="C8" s="3380"/>
      <c r="D8" s="2281" t="str">
        <f>Перегородки_база!C21</f>
        <v>Белое, Серое 
(цветная пленка)</v>
      </c>
      <c r="E8" s="2419">
        <f>Перегородки_база!L21*(1+скидки_наценки!$B$28)*скидки_наценки!$D$19*скидки_наценки!$F$19/скидки_наценки!$B$4</f>
        <v>25980</v>
      </c>
      <c r="F8" s="2420">
        <f>Перегородки_база!M21*(1+скидки_наценки!$B$28)*скидки_наценки!$D$19*скидки_наценки!$F$19/скидки_наценки!$B$4</f>
        <v>28580</v>
      </c>
      <c r="G8" s="2449">
        <f>Перегородки_база!N21*(1+скидки_наценки!$B$28)*скидки_наценки!$D$19*скидки_наценки!$F$19/скидки_наценки!$B$4</f>
        <v>29880</v>
      </c>
      <c r="H8" s="2419">
        <f>Перегородки_база!O21*(1+скидки_наценки!$B$28)*скидки_наценки!$D$19*скидки_наценки!$F$19/скидки_наценки!$B$4</f>
        <v>23610</v>
      </c>
      <c r="I8" s="2420">
        <f>Перегородки_база!P21*(1+скидки_наценки!$B$28)*скидки_наценки!$D$19*скидки_наценки!$F$19/скидки_наценки!$B$4</f>
        <v>25980</v>
      </c>
      <c r="J8" s="2420">
        <f>Перегородки_база!Q21*(1+скидки_наценки!$B$28)*скидки_наценки!$D$19*скидки_наценки!$F$19/скидки_наценки!$B$4</f>
        <v>27150</v>
      </c>
      <c r="K8" s="2420">
        <f>Перегородки_база!R21*(1+скидки_наценки!$B$28)*скидки_наценки!$D$19*скидки_наценки!$F$19/скидки_наценки!$B$4</f>
        <v>40640</v>
      </c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</row>
    <row r="9" spans="1:31" ht="27.75" customHeight="1">
      <c r="A9" s="79"/>
      <c r="B9" s="3379"/>
      <c r="C9" s="3380"/>
      <c r="D9" s="2280" t="str">
        <f>Перегородки_база!C22</f>
        <v>Зеркало "Серебро", "Бронза", "Графит"</v>
      </c>
      <c r="E9" s="2417">
        <f>Перегородки_база!L22*(1+скидки_наценки!$B$28)*скидки_наценки!$D$19*скидки_наценки!$F$19/скидки_наценки!$B$4</f>
        <v>28340</v>
      </c>
      <c r="F9" s="2418">
        <f>Перегородки_база!M22*(1+скидки_наценки!$B$28)*скидки_наценки!$D$19*скидки_наценки!$F$19/скидки_наценки!$B$4</f>
        <v>31180</v>
      </c>
      <c r="G9" s="2448">
        <f>Перегородки_база!N22*(1+скидки_наценки!$B$28)*скидки_наценки!$D$19*скидки_наценки!$F$19/скидки_наценки!$B$4</f>
        <v>32600</v>
      </c>
      <c r="H9" s="2417">
        <f>Перегородки_база!O22*(1+скидки_наценки!$B$28)*скидки_наценки!$D$19*скидки_наценки!$F$19/скидки_наценки!$B$4</f>
        <v>25760</v>
      </c>
      <c r="I9" s="2418">
        <f>Перегородки_база!P22*(1+скидки_наценки!$B$28)*скидки_наценки!$D$19*скидки_наценки!$F$19/скидки_наценки!$B$4</f>
        <v>28340</v>
      </c>
      <c r="J9" s="2418">
        <f>Перегородки_база!Q22*(1+скидки_наценки!$B$28)*скидки_наценки!$D$19*скидки_наценки!$F$19/скидки_наценки!$B$4</f>
        <v>29620</v>
      </c>
      <c r="K9" s="2418">
        <f>Перегородки_база!R22*(1+скидки_наценки!$B$28)*скидки_наценки!$D$19*скидки_наценки!$F$19/скидки_наценки!$B$4</f>
        <v>44330</v>
      </c>
      <c r="AA9" s="73"/>
      <c r="AB9" s="73"/>
      <c r="AC9" s="73"/>
      <c r="AD9" s="73"/>
      <c r="AE9" s="73"/>
    </row>
    <row r="10" spans="1:31" ht="27.75" customHeight="1">
      <c r="A10" s="79"/>
      <c r="B10" s="3379"/>
      <c r="C10" s="3380"/>
      <c r="D10" s="2281" t="str">
        <f>Перегородки_база!C23</f>
        <v>Зеркало Cатин "Серебро", "Бронза", "Графит"</v>
      </c>
      <c r="E10" s="2419">
        <f>Перегородки_база!L23*(1+скидки_наценки!$B$28)*скидки_наценки!$D$19*скидки_наценки!$F$19/скидки_наценки!$B$4</f>
        <v>30700</v>
      </c>
      <c r="F10" s="2420">
        <f>Перегородки_база!M23*(1+скидки_наценки!$B$28)*скидки_наценки!$D$19*скидки_наценки!$F$19/скидки_наценки!$B$4</f>
        <v>33780</v>
      </c>
      <c r="G10" s="2449">
        <f>Перегородки_база!N23*(1+скидки_наценки!$B$28)*скидки_наценки!$D$19*скидки_наценки!$F$19/скидки_наценки!$B$4</f>
        <v>35310</v>
      </c>
      <c r="H10" s="2419">
        <f>Перегородки_база!O23*(1+скидки_наценки!$B$28)*скидки_наценки!$D$19*скидки_наценки!$F$19/скидки_наценки!$B$4</f>
        <v>27900</v>
      </c>
      <c r="I10" s="2420">
        <f>Перегородки_база!P23*(1+скидки_наценки!$B$28)*скидки_наценки!$D$19*скидки_наценки!$F$19/скидки_наценки!$B$4</f>
        <v>30700</v>
      </c>
      <c r="J10" s="2420">
        <f>Перегородки_база!Q23*(1+скидки_наценки!$B$28)*скидки_наценки!$D$19*скидки_наценки!$F$19/скидки_наценки!$B$4</f>
        <v>32090</v>
      </c>
      <c r="K10" s="2420">
        <f>Перегородки_база!R23*(1+скидки_наценки!$B$28)*скидки_наценки!$D$19*скидки_наценки!$F$19/скидки_наценки!$B$4</f>
        <v>48030</v>
      </c>
      <c r="AA10" s="73"/>
      <c r="AB10" s="73"/>
      <c r="AC10" s="73"/>
      <c r="AD10" s="73"/>
      <c r="AE10" s="73"/>
    </row>
    <row r="11" spans="1:31" ht="27.75" customHeight="1">
      <c r="B11" s="3379"/>
      <c r="C11" s="3380"/>
      <c r="D11" s="2283" t="str">
        <f>Перегородки_база!C24</f>
        <v>прозрачное Optiwhite 
(прозрачная пленка)</v>
      </c>
      <c r="E11" s="2421">
        <f>Перегородки_база!L24*(1+скидки_наценки!$B$28)*скидки_наценки!$D$19*скидки_наценки!$F$19/скидки_наценки!$B$4</f>
        <v>34240</v>
      </c>
      <c r="F11" s="2422">
        <f>Перегородки_база!M24*(1+скидки_наценки!$B$28)*скидки_наценки!$D$19*скидки_наценки!$F$19/скидки_наценки!$B$4</f>
        <v>37680</v>
      </c>
      <c r="G11" s="2450">
        <f>Перегородки_база!N24*(1+скидки_наценки!$B$28)*скидки_наценки!$D$19*скидки_наценки!$F$19/скидки_наценки!$B$4</f>
        <v>39390</v>
      </c>
      <c r="H11" s="2421">
        <f>Перегородки_база!O24*(1+скидки_наценки!$B$28)*скидки_наценки!$D$19*скидки_наценки!$F$19/скидки_наценки!$B$4</f>
        <v>31120</v>
      </c>
      <c r="I11" s="2422">
        <f>Перегородки_база!P24*(1+скидки_наценки!$B$28)*скидки_наценки!$D$19*скидки_наценки!$F$19/скидки_наценки!$B$4</f>
        <v>34240</v>
      </c>
      <c r="J11" s="2422">
        <f>Перегородки_база!Q24*(1+скидки_наценки!$B$28)*скидки_наценки!$D$19*скидки_наценки!$F$19/скидки_наценки!$B$4</f>
        <v>35790</v>
      </c>
      <c r="K11" s="2422">
        <f>Перегородки_база!R24*(1+скидки_наценки!$B$28)*скидки_наценки!$D$19*скидки_наценки!$F$19/скидки_наценки!$B$4</f>
        <v>53570</v>
      </c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</row>
    <row r="12" spans="1:31" ht="24" customHeight="1">
      <c r="A12" s="79"/>
      <c r="B12" s="3379"/>
      <c r="C12" s="3380"/>
      <c r="D12" s="2282" t="str">
        <f>Перегородки_база!C25</f>
        <v>Дарк Грей 
(прозрачная пленка)</v>
      </c>
      <c r="E12" s="2423">
        <f>Перегородки_база!L25*(1+скидки_наценки!$B$28)*скидки_наценки!$D$19*скидки_наценки!$F$19/скидки_наценки!$B$4</f>
        <v>36600</v>
      </c>
      <c r="F12" s="2424">
        <f>Перегородки_база!M25*(1+скидки_наценки!$B$28)*скидки_наценки!$D$19*скидки_наценки!$F$19/скидки_наценки!$B$4</f>
        <v>40270</v>
      </c>
      <c r="G12" s="2451">
        <f>Перегородки_база!N25*(1+скидки_наценки!$B$28)*скидки_наценки!$D$19*скидки_наценки!$F$19/скидки_наценки!$B$4</f>
        <v>42100</v>
      </c>
      <c r="H12" s="2423">
        <f>Перегородки_база!O25*(1+скидки_наценки!$B$28)*скидки_наценки!$D$19*скидки_наценки!$F$19/скидки_наценки!$B$4</f>
        <v>33270</v>
      </c>
      <c r="I12" s="2424">
        <f>Перегородки_база!P25*(1+скидки_наценки!$B$28)*скидки_наценки!$D$19*скидки_наценки!$F$19/скидки_наценки!$B$4</f>
        <v>36600</v>
      </c>
      <c r="J12" s="2424">
        <f>Перегородки_база!Q25*(1+скидки_наценки!$B$28)*скидки_наценки!$D$19*скидки_наценки!$F$19/скидки_наценки!$B$4</f>
        <v>38260</v>
      </c>
      <c r="K12" s="2424">
        <f>Перегородки_база!R25*(1+скидки_наценки!$B$28)*скидки_наценки!$D$19*скидки_наценки!$F$19/скидки_наценки!$B$4</f>
        <v>57260</v>
      </c>
      <c r="AA12" s="73"/>
      <c r="AB12" s="73"/>
      <c r="AC12" s="73"/>
      <c r="AD12" s="73"/>
      <c r="AE12" s="73"/>
    </row>
    <row r="13" spans="1:31" ht="30" customHeight="1">
      <c r="A13" s="79"/>
      <c r="B13" s="3358" t="str">
        <f>Corsa_Race!B14</f>
        <v>Дизайнерские стекла 8мм</v>
      </c>
      <c r="C13" s="3358"/>
      <c r="D13" s="2325" t="str">
        <f>Перегородки_база!C26</f>
        <v>Стекло рифленое Moru-Ultra</v>
      </c>
      <c r="E13" s="2421" t="s">
        <v>3</v>
      </c>
      <c r="F13" s="2422" t="s">
        <v>3</v>
      </c>
      <c r="G13" s="2450" t="s">
        <v>3</v>
      </c>
      <c r="H13" s="2421">
        <f>Перегородки_база!O26*(1+скидки_наценки!$B$28)*скидки_наценки!$D$19*скидки_наценки!$F$19/скидки_наценки!$B$4</f>
        <v>42920</v>
      </c>
      <c r="I13" s="2422">
        <f>Перегородки_база!P26*(1+скидки_наценки!$B$28)*скидки_наценки!$D$19*скидки_наценки!$F$19/скидки_наценки!$B$4</f>
        <v>47220</v>
      </c>
      <c r="J13" s="2422">
        <f>Перегородки_база!Q26*(1+скидки_наценки!$B$28)*скидки_наценки!$D$19*скидки_наценки!$F$19/скидки_наценки!$B$4</f>
        <v>49360</v>
      </c>
      <c r="K13" s="2422">
        <f>Перегородки_база!R26*(1+скидки_наценки!$B$28)*скидки_наценки!$D$19*скидки_наценки!$F$19/скидки_наценки!$B$4</f>
        <v>0</v>
      </c>
      <c r="AA13" s="73"/>
      <c r="AB13" s="73"/>
      <c r="AC13" s="73"/>
      <c r="AD13" s="73"/>
      <c r="AE13" s="73"/>
    </row>
    <row r="14" spans="1:31" ht="30" customHeight="1">
      <c r="A14" s="79"/>
      <c r="B14" s="3358"/>
      <c r="C14" s="3358"/>
      <c r="D14" s="2323" t="str">
        <f>Перегородки_база!C27</f>
        <v>Стекло рифленое Moru-Rainbow</v>
      </c>
      <c r="E14" s="2423" t="s">
        <v>3</v>
      </c>
      <c r="F14" s="2424" t="s">
        <v>3</v>
      </c>
      <c r="G14" s="2451" t="s">
        <v>3</v>
      </c>
      <c r="H14" s="2423">
        <f>Перегородки_база!O27*(1+скидки_наценки!$B$28)*скидки_наценки!$D$19*скидки_наценки!$F$19/скидки_наценки!$B$4</f>
        <v>42920</v>
      </c>
      <c r="I14" s="2424">
        <f>Перегородки_база!P27*(1+скидки_наценки!$B$28)*скидки_наценки!$D$19*скидки_наценки!$F$19/скидки_наценки!$B$4</f>
        <v>47220</v>
      </c>
      <c r="J14" s="2424">
        <f>Перегородки_база!Q27*(1+скидки_наценки!$B$28)*скидки_наценки!$D$19*скидки_наценки!$F$19/скидки_наценки!$B$4</f>
        <v>49360</v>
      </c>
      <c r="K14" s="2424">
        <f>Перегородки_база!R27*(1+скидки_наценки!$B$28)*скидки_наценки!$D$19*скидки_наценки!$F$19/скидки_наценки!$B$4</f>
        <v>0</v>
      </c>
      <c r="AA14" s="73"/>
      <c r="AB14" s="73"/>
      <c r="AC14" s="73"/>
      <c r="AD14" s="73"/>
      <c r="AE14" s="73"/>
    </row>
    <row r="15" spans="1:31" ht="30" customHeight="1" thickBot="1">
      <c r="A15" s="79"/>
      <c r="B15" s="3358"/>
      <c r="C15" s="3358"/>
      <c r="D15" s="2325" t="str">
        <f>Перегородки_база!C28</f>
        <v>Стекло рифленое Estriado</v>
      </c>
      <c r="E15" s="2425" t="s">
        <v>3</v>
      </c>
      <c r="F15" s="2426" t="s">
        <v>3</v>
      </c>
      <c r="G15" s="2452" t="s">
        <v>3</v>
      </c>
      <c r="H15" s="2425">
        <f>Перегородки_база!O28*(1+скидки_наценки!$B$28)*скидки_наценки!$D$19*скидки_наценки!$F$19/скидки_наценки!$B$4</f>
        <v>42920</v>
      </c>
      <c r="I15" s="2426">
        <f>Перегородки_база!P28*(1+скидки_наценки!$B$28)*скидки_наценки!$D$19*скидки_наценки!$F$19/скидки_наценки!$B$4</f>
        <v>47220</v>
      </c>
      <c r="J15" s="2426">
        <f>Перегородки_база!Q28*(1+скидки_наценки!$B$28)*скидки_наценки!$D$19*скидки_наценки!$F$19/скидки_наценки!$B$4</f>
        <v>49360</v>
      </c>
      <c r="K15" s="2426">
        <f>Перегородки_база!R28*(1+скидки_наценки!$B$28)*скидки_наценки!$D$19*скидки_наценки!$F$19/скидки_наценки!$B$4</f>
        <v>0</v>
      </c>
      <c r="AA15" s="73"/>
      <c r="AB15" s="73"/>
      <c r="AC15" s="73"/>
      <c r="AD15" s="73"/>
      <c r="AE15" s="73"/>
    </row>
    <row r="16" spans="1:31" ht="16.899999999999999" customHeight="1">
      <c r="A16" s="79"/>
      <c r="B16" s="2322"/>
      <c r="C16" s="2322"/>
      <c r="D16" s="1795"/>
      <c r="E16" s="981"/>
      <c r="F16" s="981"/>
      <c r="G16" s="981"/>
      <c r="H16" s="981"/>
      <c r="I16" s="981"/>
      <c r="J16" s="981"/>
      <c r="K16" s="981"/>
      <c r="AA16" s="73"/>
      <c r="AB16" s="73"/>
      <c r="AC16" s="73"/>
      <c r="AD16" s="73"/>
      <c r="AE16" s="73"/>
    </row>
    <row r="17" spans="1:15" s="77" customFormat="1">
      <c r="A17" s="79"/>
      <c r="B17" s="1772" t="s">
        <v>99</v>
      </c>
      <c r="C17" s="1772"/>
      <c r="D17" s="1772"/>
      <c r="E17" s="374"/>
    </row>
    <row r="18" spans="1:15" s="77" customFormat="1">
      <c r="A18" s="79"/>
      <c r="B18" s="1773" t="s">
        <v>2231</v>
      </c>
      <c r="C18" s="1773"/>
      <c r="D18" s="1773"/>
      <c r="E18" s="374"/>
    </row>
    <row r="19" spans="1:15" s="77" customFormat="1">
      <c r="A19" s="79"/>
      <c r="B19" s="1773" t="s">
        <v>2039</v>
      </c>
      <c r="C19" s="1773"/>
      <c r="D19" s="1773"/>
      <c r="E19" s="374"/>
    </row>
    <row r="20" spans="1:15" s="77" customFormat="1">
      <c r="A20" s="79"/>
      <c r="B20" s="1773" t="s">
        <v>2040</v>
      </c>
      <c r="C20" s="1773"/>
      <c r="D20" s="1773"/>
      <c r="E20" s="374"/>
    </row>
    <row r="21" spans="1:15" s="77" customFormat="1">
      <c r="A21" s="79"/>
      <c r="B21" s="1773" t="s">
        <v>2037</v>
      </c>
      <c r="C21" s="1773"/>
      <c r="D21" s="1773"/>
      <c r="E21" s="374"/>
    </row>
    <row r="22" spans="1:15" s="77" customFormat="1">
      <c r="A22" s="79"/>
      <c r="B22" s="1773" t="s">
        <v>2233</v>
      </c>
      <c r="C22" s="1773"/>
      <c r="D22" s="1773"/>
      <c r="E22" s="374"/>
    </row>
    <row r="23" spans="1:15" s="77" customFormat="1" ht="10.5" customHeight="1">
      <c r="A23" s="79"/>
      <c r="B23" s="1773"/>
      <c r="C23" s="1773"/>
      <c r="D23" s="1773"/>
      <c r="E23" s="374"/>
    </row>
    <row r="24" spans="1:15" s="77" customFormat="1" ht="15.75">
      <c r="A24" s="79"/>
      <c r="B24" s="1774" t="s">
        <v>1954</v>
      </c>
      <c r="C24" s="1762"/>
      <c r="D24" s="1762"/>
      <c r="E24" s="981"/>
      <c r="H24" s="1774" t="s">
        <v>2038</v>
      </c>
      <c r="O24" s="1771"/>
    </row>
    <row r="25" spans="1:15" s="77" customFormat="1" ht="25.5">
      <c r="A25" s="79"/>
      <c r="B25" s="3391" t="s">
        <v>26</v>
      </c>
      <c r="C25" s="3392"/>
      <c r="D25" s="1775" t="s">
        <v>2134</v>
      </c>
      <c r="E25" s="2181" t="s">
        <v>1910</v>
      </c>
      <c r="F25" s="1767"/>
      <c r="G25" s="1767"/>
      <c r="H25" s="1773"/>
      <c r="I25" s="1773"/>
      <c r="J25" s="1773"/>
      <c r="K25" s="1773"/>
      <c r="O25" s="79"/>
    </row>
    <row r="26" spans="1:15" s="77" customFormat="1" ht="15.75">
      <c r="A26" s="79"/>
      <c r="B26" s="3389" t="s">
        <v>1771</v>
      </c>
      <c r="C26" s="3390"/>
      <c r="D26" s="1759"/>
      <c r="E26" s="1766"/>
      <c r="O26" s="1779"/>
    </row>
    <row r="27" spans="1:15" s="77" customFormat="1" ht="24" customHeight="1">
      <c r="A27" s="79"/>
      <c r="B27" s="3373" t="s">
        <v>1769</v>
      </c>
      <c r="C27" s="3374"/>
      <c r="D27" s="2278" t="s">
        <v>2135</v>
      </c>
      <c r="E27" s="1765" t="s">
        <v>1800</v>
      </c>
      <c r="O27" s="1764"/>
    </row>
    <row r="28" spans="1:15" s="77" customFormat="1" ht="17.25" customHeight="1">
      <c r="A28" s="79"/>
      <c r="B28" s="3389" t="s">
        <v>1908</v>
      </c>
      <c r="C28" s="3390"/>
      <c r="D28" s="3390"/>
      <c r="E28" s="3395"/>
      <c r="O28" s="79"/>
    </row>
    <row r="29" spans="1:15" s="77" customFormat="1" ht="24.75" customHeight="1">
      <c r="A29" s="79"/>
      <c r="B29" s="3373" t="s">
        <v>1909</v>
      </c>
      <c r="C29" s="3374"/>
      <c r="D29" s="2278" t="s">
        <v>2136</v>
      </c>
      <c r="E29" s="1931">
        <f>E30/2</f>
        <v>965</v>
      </c>
      <c r="O29" s="79"/>
    </row>
    <row r="30" spans="1:15" s="77" customFormat="1" ht="24.75" customHeight="1">
      <c r="A30" s="79"/>
      <c r="B30" s="3373" t="s">
        <v>1909</v>
      </c>
      <c r="C30" s="3374"/>
      <c r="D30" s="2278" t="s">
        <v>2137</v>
      </c>
      <c r="E30" s="1931">
        <f>Алюм.погонаж!F43</f>
        <v>1930</v>
      </c>
      <c r="O30" s="79"/>
    </row>
    <row r="31" spans="1:15" s="77" customFormat="1" ht="24.75" customHeight="1">
      <c r="A31" s="79"/>
      <c r="B31" s="3373" t="s">
        <v>1909</v>
      </c>
      <c r="C31" s="3374"/>
      <c r="D31" s="2278" t="s">
        <v>2138</v>
      </c>
      <c r="E31" s="1931">
        <f>E30*1.5</f>
        <v>2895</v>
      </c>
      <c r="O31" s="79"/>
    </row>
    <row r="32" spans="1:15" s="77" customFormat="1" ht="15.75" customHeight="1">
      <c r="A32" s="79"/>
      <c r="B32" s="2971" t="s">
        <v>1772</v>
      </c>
      <c r="C32" s="2972"/>
      <c r="D32" s="2972"/>
      <c r="E32" s="3388"/>
    </row>
    <row r="33" spans="1:31" s="77" customFormat="1" ht="54" customHeight="1">
      <c r="A33" s="79"/>
      <c r="B33" s="3393" t="s">
        <v>1774</v>
      </c>
      <c r="C33" s="3394"/>
      <c r="D33" s="1776" t="s">
        <v>2139</v>
      </c>
      <c r="E33" s="1768" t="s">
        <v>1777</v>
      </c>
    </row>
    <row r="34" spans="1:31" s="77" customFormat="1" ht="44.25" customHeight="1">
      <c r="A34" s="79"/>
      <c r="B34" s="3384" t="s">
        <v>1770</v>
      </c>
      <c r="C34" s="3385"/>
      <c r="D34" s="1777" t="s">
        <v>2140</v>
      </c>
      <c r="E34" s="1769" t="s">
        <v>1776</v>
      </c>
    </row>
    <row r="35" spans="1:31" s="77" customFormat="1" ht="47.25" customHeight="1">
      <c r="A35" s="79"/>
      <c r="B35" s="3386" t="s">
        <v>1773</v>
      </c>
      <c r="C35" s="3387"/>
      <c r="D35" s="1778" t="s">
        <v>2210</v>
      </c>
      <c r="E35" s="1770" t="s">
        <v>1775</v>
      </c>
    </row>
    <row r="36" spans="1:31" s="77" customFormat="1" ht="47.25" customHeight="1">
      <c r="A36" s="79"/>
      <c r="B36" s="3375" t="s">
        <v>2178</v>
      </c>
      <c r="C36" s="3376"/>
      <c r="D36" s="2325" t="s">
        <v>2179</v>
      </c>
      <c r="E36" s="2324">
        <f>5970*(1+скидки_наценки!$B$30)*скидки_наценки!$D$13*скидки_наценки!$F$13/скидки_наценки!$B$4</f>
        <v>5970</v>
      </c>
    </row>
    <row r="37" spans="1:31" s="77" customFormat="1" ht="23.25" customHeight="1">
      <c r="A37" s="79"/>
      <c r="B37" s="3383" t="s">
        <v>2180</v>
      </c>
      <c r="C37" s="3383"/>
      <c r="D37" s="3383"/>
      <c r="E37" s="3383"/>
      <c r="F37" s="3383"/>
      <c r="G37" s="3383"/>
      <c r="H37" s="3383"/>
      <c r="I37" s="3383"/>
      <c r="J37" s="2363"/>
    </row>
    <row r="38" spans="1:31" s="77" customFormat="1" ht="15.75">
      <c r="A38" s="79"/>
      <c r="B38" s="1761"/>
      <c r="C38" s="1761"/>
      <c r="D38" s="1761"/>
      <c r="E38" s="981"/>
      <c r="H38" s="344"/>
      <c r="I38" s="344"/>
      <c r="J38" s="344"/>
      <c r="K38" s="344"/>
    </row>
    <row r="39" spans="1:31" ht="15" customHeight="1">
      <c r="A39" s="77"/>
      <c r="B39" s="1774" t="s">
        <v>4</v>
      </c>
      <c r="C39" s="1762"/>
      <c r="D39" s="1762"/>
      <c r="AA39" s="73"/>
      <c r="AB39" s="73"/>
      <c r="AC39" s="73"/>
      <c r="AD39" s="73"/>
      <c r="AE39" s="73"/>
    </row>
    <row r="40" spans="1:31" ht="18" customHeight="1">
      <c r="A40" s="77"/>
      <c r="B40" s="77"/>
      <c r="C40" s="77"/>
      <c r="D40" s="77"/>
      <c r="AA40" s="73"/>
      <c r="AB40" s="73"/>
      <c r="AC40" s="73"/>
      <c r="AD40" s="73"/>
      <c r="AE40" s="73"/>
    </row>
    <row r="41" spans="1:31">
      <c r="A41" s="77"/>
      <c r="B41" s="77"/>
      <c r="C41" s="77"/>
      <c r="D41" s="77"/>
      <c r="AA41" s="73"/>
      <c r="AB41" s="73"/>
      <c r="AC41" s="73"/>
      <c r="AD41" s="73"/>
      <c r="AE41" s="73"/>
    </row>
    <row r="42" spans="1:31">
      <c r="A42" s="77"/>
      <c r="B42" s="77"/>
      <c r="C42" s="77"/>
      <c r="D42" s="77"/>
      <c r="AA42" s="73"/>
      <c r="AB42" s="73"/>
      <c r="AC42" s="73"/>
      <c r="AD42" s="73"/>
      <c r="AE42" s="73"/>
    </row>
    <row r="43" spans="1:31">
      <c r="A43" s="77"/>
      <c r="B43" s="77"/>
      <c r="C43" s="77"/>
      <c r="D43" s="77"/>
      <c r="AA43" s="73"/>
      <c r="AB43" s="73"/>
      <c r="AC43" s="73"/>
      <c r="AD43" s="73"/>
      <c r="AE43" s="73"/>
    </row>
    <row r="44" spans="1:31" ht="18" customHeight="1">
      <c r="A44" s="77"/>
      <c r="B44" s="77"/>
      <c r="C44" s="77"/>
      <c r="D44" s="77"/>
      <c r="AA44" s="73"/>
      <c r="AB44" s="73"/>
      <c r="AC44" s="73"/>
      <c r="AD44" s="73"/>
      <c r="AE44" s="73"/>
    </row>
    <row r="45" spans="1:31" s="77" customFormat="1" ht="21.75" customHeight="1"/>
    <row r="46" spans="1:31" ht="15.75">
      <c r="B46" s="429"/>
      <c r="C46" s="429"/>
      <c r="D46" s="429"/>
    </row>
  </sheetData>
  <mergeCells count="21">
    <mergeCell ref="B2:K2"/>
    <mergeCell ref="B37:I37"/>
    <mergeCell ref="B34:C34"/>
    <mergeCell ref="B35:C35"/>
    <mergeCell ref="B32:E32"/>
    <mergeCell ref="B26:C26"/>
    <mergeCell ref="B25:C25"/>
    <mergeCell ref="B27:C27"/>
    <mergeCell ref="B33:C33"/>
    <mergeCell ref="B29:C29"/>
    <mergeCell ref="B28:E28"/>
    <mergeCell ref="B30:C30"/>
    <mergeCell ref="F4:G4"/>
    <mergeCell ref="I4:J4"/>
    <mergeCell ref="E3:G3"/>
    <mergeCell ref="H3:J3"/>
    <mergeCell ref="B31:C31"/>
    <mergeCell ref="B36:C36"/>
    <mergeCell ref="B3:D5"/>
    <mergeCell ref="B6:C12"/>
    <mergeCell ref="B13:C15"/>
  </mergeCells>
  <conditionalFormatting sqref="E38 E26 E24 I16:J16 E7:G16 E6:K6">
    <cfRule type="cellIs" dxfId="11" priority="25" operator="equal">
      <formula>0</formula>
    </cfRule>
  </conditionalFormatting>
  <conditionalFormatting sqref="H16 K16">
    <cfRule type="cellIs" dxfId="10" priority="14" operator="equal">
      <formula>0</formula>
    </cfRule>
  </conditionalFormatting>
  <conditionalFormatting sqref="H7:J15">
    <cfRule type="cellIs" dxfId="9" priority="3" operator="equal">
      <formula>0</formula>
    </cfRule>
  </conditionalFormatting>
  <conditionalFormatting sqref="K7:K15">
    <cfRule type="cellIs" dxfId="8" priority="2" operator="equal">
      <formula>0</formula>
    </cfRule>
  </conditionalFormatting>
  <conditionalFormatting sqref="H4:I4 K4 E4:F4 E5:K5">
    <cfRule type="cellIs" dxfId="7" priority="1" operator="equal">
      <formula>0</formula>
    </cfRule>
  </conditionalFormatting>
  <hyperlinks>
    <hyperlink ref="B1" location="Содержание!A1" display="Вернуться в содержание"/>
    <hyperlink ref="E27" location="Алюм.погонаж!A1" display="Аллюминиевый погонаж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2" firstPageNumber="48" orientation="landscape" useFirstPageNumber="1" r:id="rId1"/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W68"/>
  <sheetViews>
    <sheetView view="pageBreakPreview" topLeftCell="A3" zoomScale="70" zoomScaleNormal="70" zoomScaleSheetLayoutView="70" workbookViewId="0">
      <selection activeCell="J9" sqref="J9"/>
    </sheetView>
  </sheetViews>
  <sheetFormatPr defaultColWidth="9.140625" defaultRowHeight="12.75" outlineLevelRow="1" outlineLevelCol="1"/>
  <cols>
    <col min="1" max="1" width="5.7109375" style="73" customWidth="1"/>
    <col min="2" max="2" width="12.28515625" style="73" customWidth="1"/>
    <col min="3" max="3" width="15.7109375" style="73" customWidth="1"/>
    <col min="4" max="4" width="12.28515625" style="73" customWidth="1"/>
    <col min="5" max="5" width="12.28515625" style="1014" hidden="1" customWidth="1" outlineLevel="1"/>
    <col min="6" max="6" width="10.85546875" style="73" customWidth="1" collapsed="1"/>
    <col min="7" max="16" width="23.7109375" style="73" customWidth="1"/>
    <col min="17" max="16384" width="9.140625" style="73"/>
  </cols>
  <sheetData>
    <row r="1" spans="1:23" ht="18" hidden="1" customHeight="1" outlineLevel="1">
      <c r="A1" s="70"/>
      <c r="B1" s="70"/>
      <c r="C1" s="70"/>
      <c r="D1" s="70"/>
      <c r="E1" s="1012"/>
      <c r="F1" s="70"/>
      <c r="G1" s="70" t="s">
        <v>914</v>
      </c>
      <c r="H1" s="70" t="s">
        <v>309</v>
      </c>
      <c r="I1" s="70" t="s">
        <v>309</v>
      </c>
      <c r="J1" s="70"/>
      <c r="K1" s="70"/>
      <c r="L1" s="70"/>
      <c r="M1" s="70"/>
    </row>
    <row r="2" spans="1:23" ht="18" hidden="1" customHeight="1" outlineLevel="1">
      <c r="A2" s="99"/>
      <c r="B2" s="99"/>
      <c r="C2" s="99"/>
      <c r="D2" s="99"/>
      <c r="E2" s="1013"/>
      <c r="F2" s="99"/>
      <c r="G2" s="999">
        <v>0.39</v>
      </c>
      <c r="H2" s="999">
        <v>0.67</v>
      </c>
      <c r="I2" s="999">
        <v>0.33</v>
      </c>
      <c r="J2" s="99"/>
      <c r="K2" s="99"/>
      <c r="L2" s="99"/>
      <c r="M2" s="99"/>
    </row>
    <row r="3" spans="1:23" ht="18" customHeight="1" collapsed="1">
      <c r="A3" s="95"/>
      <c r="B3" s="71"/>
      <c r="C3" s="71"/>
      <c r="D3" s="71"/>
      <c r="E3" s="72"/>
      <c r="F3" s="71"/>
      <c r="G3" s="986"/>
      <c r="H3" s="71"/>
      <c r="I3" s="71"/>
      <c r="J3" s="71"/>
      <c r="K3" s="71"/>
      <c r="L3" s="71"/>
      <c r="M3" s="71"/>
    </row>
    <row r="4" spans="1:23" ht="18" customHeight="1">
      <c r="A4" s="471"/>
      <c r="B4" s="471"/>
      <c r="C4" s="471"/>
      <c r="D4" s="471"/>
      <c r="E4" s="303"/>
      <c r="F4" s="471"/>
      <c r="G4" s="471"/>
      <c r="H4" s="25"/>
      <c r="I4" s="25"/>
      <c r="J4" s="25"/>
      <c r="K4" s="471"/>
      <c r="L4" s="71"/>
      <c r="M4" s="71"/>
      <c r="N4" s="71"/>
      <c r="O4" s="71"/>
      <c r="P4" s="71"/>
    </row>
    <row r="5" spans="1:23" s="471" customFormat="1" ht="18" customHeight="1">
      <c r="A5" s="984"/>
      <c r="B5" s="382" t="s">
        <v>307</v>
      </c>
      <c r="C5" s="24"/>
      <c r="D5" s="24"/>
      <c r="E5" s="353"/>
      <c r="F5" s="24"/>
      <c r="G5" s="24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</row>
    <row r="6" spans="1:23" s="435" customFormat="1" ht="31.5" customHeight="1" thickBot="1">
      <c r="A6" s="3408" t="s">
        <v>1097</v>
      </c>
      <c r="B6" s="3408"/>
      <c r="C6" s="3408"/>
      <c r="D6" s="3408"/>
      <c r="E6" s="3408"/>
      <c r="F6" s="3408"/>
      <c r="G6" s="3408"/>
      <c r="H6" s="3408"/>
      <c r="I6" s="985"/>
      <c r="J6" s="985"/>
      <c r="K6" s="985"/>
      <c r="L6" s="433"/>
      <c r="M6" s="433"/>
      <c r="N6" s="433"/>
      <c r="O6" s="433"/>
      <c r="P6" s="433"/>
    </row>
    <row r="7" spans="1:23" s="84" customFormat="1" ht="18" customHeight="1" outlineLevel="1">
      <c r="A7" s="3409" t="s">
        <v>1</v>
      </c>
      <c r="B7" s="3410" t="s">
        <v>1084</v>
      </c>
      <c r="C7" s="3410" t="s">
        <v>1093</v>
      </c>
      <c r="D7" s="3410" t="s">
        <v>1127</v>
      </c>
      <c r="E7" s="1015"/>
      <c r="F7" s="3411" t="s">
        <v>1085</v>
      </c>
      <c r="G7" s="3402" t="s">
        <v>1086</v>
      </c>
      <c r="H7" s="3403"/>
      <c r="I7" s="3403"/>
      <c r="J7" s="3403"/>
      <c r="K7" s="3404"/>
      <c r="L7" s="3402" t="s">
        <v>1087</v>
      </c>
      <c r="M7" s="3403"/>
      <c r="N7" s="3403"/>
      <c r="O7" s="3403"/>
      <c r="P7" s="3404"/>
    </row>
    <row r="8" spans="1:23" s="84" customFormat="1" ht="79.5" customHeight="1" outlineLevel="1">
      <c r="A8" s="3409"/>
      <c r="B8" s="3410"/>
      <c r="C8" s="3410"/>
      <c r="D8" s="3410"/>
      <c r="E8" s="1015"/>
      <c r="F8" s="3411"/>
      <c r="G8" s="1016" t="s">
        <v>1092</v>
      </c>
      <c r="H8" s="987" t="s">
        <v>1094</v>
      </c>
      <c r="I8" s="987" t="s">
        <v>1100</v>
      </c>
      <c r="J8" s="987" t="s">
        <v>1101</v>
      </c>
      <c r="K8" s="994" t="s">
        <v>1102</v>
      </c>
      <c r="L8" s="1016" t="s">
        <v>1096</v>
      </c>
      <c r="M8" s="987" t="s">
        <v>1094</v>
      </c>
      <c r="N8" s="987" t="str">
        <f>I8</f>
        <v>Скрытые петли К6360
 (хром)</v>
      </c>
      <c r="O8" s="987" t="str">
        <f>J8</f>
        <v>Магнитный замок PUNTO с ответной планкой (хром)</v>
      </c>
      <c r="P8" s="994" t="s">
        <v>1103</v>
      </c>
    </row>
    <row r="9" spans="1:23" ht="35.1" customHeight="1" outlineLevel="1">
      <c r="A9" s="3405" t="s">
        <v>1090</v>
      </c>
      <c r="B9" s="3406" t="s">
        <v>1126</v>
      </c>
      <c r="C9" s="988">
        <v>2000</v>
      </c>
      <c r="D9" s="991">
        <v>0</v>
      </c>
      <c r="E9" s="991"/>
      <c r="F9" s="993">
        <v>2</v>
      </c>
      <c r="G9" s="1017">
        <f>CEILING(Techno_Porte!G7*(1-G2), 10)</f>
        <v>9280</v>
      </c>
      <c r="H9" s="989">
        <f>CEILING(Алюм.погонаж!E6*(1-$G$2), 10)</f>
        <v>8450</v>
      </c>
      <c r="I9" s="989">
        <f>1350*F9</f>
        <v>2700</v>
      </c>
      <c r="J9" s="989">
        <v>400</v>
      </c>
      <c r="K9" s="995">
        <f>G9+H9+I9+J9</f>
        <v>20830</v>
      </c>
      <c r="L9" s="1017">
        <f>CEILING(Techno_Porte!J7*(1-G2), 10)</f>
        <v>11590</v>
      </c>
      <c r="M9" s="989">
        <f>H9</f>
        <v>8450</v>
      </c>
      <c r="N9" s="989">
        <f>I9</f>
        <v>2700</v>
      </c>
      <c r="O9" s="989">
        <f>J9</f>
        <v>400</v>
      </c>
      <c r="P9" s="995">
        <f>L9+M9+N9+O9</f>
        <v>23140</v>
      </c>
      <c r="R9" s="73">
        <v>16960</v>
      </c>
      <c r="S9" s="73">
        <v>18180</v>
      </c>
    </row>
    <row r="10" spans="1:23" ht="35.1" customHeight="1" outlineLevel="1">
      <c r="A10" s="3405"/>
      <c r="B10" s="3406"/>
      <c r="C10" s="1009">
        <v>2100</v>
      </c>
      <c r="D10" s="992">
        <v>0</v>
      </c>
      <c r="E10" s="992">
        <v>0.1</v>
      </c>
      <c r="F10" s="1010">
        <v>2</v>
      </c>
      <c r="G10" s="1018">
        <f>CEILING($G$9*(1+D10), 10)</f>
        <v>9280</v>
      </c>
      <c r="H10" s="990">
        <f>CEILING(Алюм.погонаж!E7*(1-$G$2), 10)</f>
        <v>8450</v>
      </c>
      <c r="I10" s="990">
        <f t="shared" ref="I10:I20" si="0">1350*F10</f>
        <v>2700</v>
      </c>
      <c r="J10" s="990">
        <f>$J$9</f>
        <v>400</v>
      </c>
      <c r="K10" s="996">
        <f t="shared" ref="K10:K20" si="1">G10+H10+I10+J10</f>
        <v>20830</v>
      </c>
      <c r="L10" s="1018" t="e">
        <f>Techno_Porte!#REF!*(1-$G$2)</f>
        <v>#REF!</v>
      </c>
      <c r="M10" s="990">
        <f t="shared" ref="M10:M20" si="2">H10</f>
        <v>8450</v>
      </c>
      <c r="N10" s="990">
        <f t="shared" ref="N10:N20" si="3">I10</f>
        <v>2700</v>
      </c>
      <c r="O10" s="990">
        <f t="shared" ref="O10:O20" si="4">J10</f>
        <v>400</v>
      </c>
      <c r="P10" s="996" t="e">
        <f t="shared" ref="P10:P20" si="5">L10+M10+N10+O10</f>
        <v>#REF!</v>
      </c>
    </row>
    <row r="11" spans="1:23" ht="35.1" customHeight="1" outlineLevel="1">
      <c r="A11" s="3405"/>
      <c r="B11" s="3406"/>
      <c r="C11" s="988">
        <v>2200</v>
      </c>
      <c r="D11" s="991" t="e">
        <f>#REF!</f>
        <v>#REF!</v>
      </c>
      <c r="E11" s="991">
        <v>0.25</v>
      </c>
      <c r="F11" s="993">
        <v>2</v>
      </c>
      <c r="G11" s="1017" t="e">
        <f>CEILING($G$9*(1+D11), 10)</f>
        <v>#REF!</v>
      </c>
      <c r="H11" s="989">
        <f>CEILING(Алюм.погонаж!E8*(1-$G$2), 10)</f>
        <v>9720</v>
      </c>
      <c r="I11" s="989">
        <f t="shared" si="0"/>
        <v>2700</v>
      </c>
      <c r="J11" s="989">
        <f t="shared" ref="J11:J20" si="6">$J$9</f>
        <v>400</v>
      </c>
      <c r="K11" s="995" t="e">
        <f t="shared" si="1"/>
        <v>#REF!</v>
      </c>
      <c r="L11" s="1017" t="e">
        <f>Techno_Porte!#REF!*(1-$G$2)</f>
        <v>#REF!</v>
      </c>
      <c r="M11" s="989">
        <f t="shared" si="2"/>
        <v>9720</v>
      </c>
      <c r="N11" s="989">
        <f t="shared" si="3"/>
        <v>2700</v>
      </c>
      <c r="O11" s="989">
        <f t="shared" si="4"/>
        <v>400</v>
      </c>
      <c r="P11" s="995" t="e">
        <f t="shared" si="5"/>
        <v>#REF!</v>
      </c>
    </row>
    <row r="12" spans="1:23" ht="35.1" customHeight="1" outlineLevel="1">
      <c r="A12" s="3405"/>
      <c r="B12" s="3406"/>
      <c r="C12" s="1009">
        <v>2300</v>
      </c>
      <c r="D12" s="992" t="e">
        <f>#REF!</f>
        <v>#REF!</v>
      </c>
      <c r="E12" s="992">
        <v>0.4</v>
      </c>
      <c r="F12" s="1010">
        <v>3</v>
      </c>
      <c r="G12" s="1018" t="e">
        <f>CEILING($G$9*(1+D12), 10)</f>
        <v>#REF!</v>
      </c>
      <c r="H12" s="990">
        <f>CEILING(Алюм.погонаж!E9*(1-$G$2), 10)</f>
        <v>9720</v>
      </c>
      <c r="I12" s="990">
        <f t="shared" si="0"/>
        <v>4050</v>
      </c>
      <c r="J12" s="990">
        <f t="shared" si="6"/>
        <v>400</v>
      </c>
      <c r="K12" s="996" t="e">
        <f t="shared" si="1"/>
        <v>#REF!</v>
      </c>
      <c r="L12" s="1018" t="e">
        <f>Techno_Porte!#REF!*(1-$G$2)</f>
        <v>#REF!</v>
      </c>
      <c r="M12" s="990">
        <f t="shared" si="2"/>
        <v>9720</v>
      </c>
      <c r="N12" s="990">
        <f t="shared" si="3"/>
        <v>4050</v>
      </c>
      <c r="O12" s="990">
        <f t="shared" si="4"/>
        <v>400</v>
      </c>
      <c r="P12" s="996" t="e">
        <f t="shared" si="5"/>
        <v>#REF!</v>
      </c>
    </row>
    <row r="13" spans="1:23" ht="35.1" customHeight="1" outlineLevel="1">
      <c r="A13" s="3405"/>
      <c r="B13" s="3406"/>
      <c r="C13" s="988">
        <v>2400</v>
      </c>
      <c r="D13" s="991" t="e">
        <f>#REF!</f>
        <v>#REF!</v>
      </c>
      <c r="E13" s="991"/>
      <c r="F13" s="993">
        <v>3</v>
      </c>
      <c r="G13" s="1017" t="e">
        <f t="shared" ref="G13:G20" si="7">CEILING($G$9*(1+D13), 50)</f>
        <v>#REF!</v>
      </c>
      <c r="H13" s="989">
        <f>CEILING(Алюм.погонаж!E10*(1-$G$2), 10)</f>
        <v>11410</v>
      </c>
      <c r="I13" s="989">
        <f t="shared" si="0"/>
        <v>4050</v>
      </c>
      <c r="J13" s="989">
        <f t="shared" si="6"/>
        <v>400</v>
      </c>
      <c r="K13" s="995" t="e">
        <f t="shared" si="1"/>
        <v>#REF!</v>
      </c>
      <c r="L13" s="1017">
        <f>Techno_Porte!G9*(1-$G$2)</f>
        <v>12852.699999999999</v>
      </c>
      <c r="M13" s="989">
        <f t="shared" si="2"/>
        <v>11410</v>
      </c>
      <c r="N13" s="989">
        <f t="shared" si="3"/>
        <v>4050</v>
      </c>
      <c r="O13" s="989">
        <f t="shared" si="4"/>
        <v>400</v>
      </c>
      <c r="P13" s="995">
        <f t="shared" si="5"/>
        <v>28712.699999999997</v>
      </c>
    </row>
    <row r="14" spans="1:23" ht="35.1" customHeight="1" outlineLevel="1">
      <c r="A14" s="3405"/>
      <c r="B14" s="3406"/>
      <c r="C14" s="1009">
        <v>2500</v>
      </c>
      <c r="D14" s="992" t="e">
        <f>#REF!</f>
        <v>#REF!</v>
      </c>
      <c r="E14" s="992"/>
      <c r="F14" s="1010">
        <v>3</v>
      </c>
      <c r="G14" s="1018" t="e">
        <f t="shared" si="7"/>
        <v>#REF!</v>
      </c>
      <c r="H14" s="990">
        <f>CEILING(Алюм.погонаж!E11*(1-$G$2), 10)</f>
        <v>11410</v>
      </c>
      <c r="I14" s="990">
        <f t="shared" si="0"/>
        <v>4050</v>
      </c>
      <c r="J14" s="990">
        <f t="shared" si="6"/>
        <v>400</v>
      </c>
      <c r="K14" s="996" t="e">
        <f t="shared" si="1"/>
        <v>#REF!</v>
      </c>
      <c r="L14" s="1018" t="e">
        <f>Techno_Porte!#REF!*(1-$G$2)</f>
        <v>#REF!</v>
      </c>
      <c r="M14" s="990">
        <f t="shared" si="2"/>
        <v>11410</v>
      </c>
      <c r="N14" s="990">
        <f t="shared" si="3"/>
        <v>4050</v>
      </c>
      <c r="O14" s="990">
        <f t="shared" si="4"/>
        <v>400</v>
      </c>
      <c r="P14" s="996" t="e">
        <f t="shared" si="5"/>
        <v>#REF!</v>
      </c>
    </row>
    <row r="15" spans="1:23" ht="35.1" customHeight="1" outlineLevel="1">
      <c r="A15" s="3405"/>
      <c r="B15" s="3407">
        <v>900</v>
      </c>
      <c r="C15" s="988">
        <v>2000</v>
      </c>
      <c r="D15" s="991" t="e">
        <f>#REF!</f>
        <v>#REF!</v>
      </c>
      <c r="E15" s="991"/>
      <c r="F15" s="993">
        <v>2</v>
      </c>
      <c r="G15" s="1017" t="e">
        <f t="shared" si="7"/>
        <v>#REF!</v>
      </c>
      <c r="H15" s="989">
        <f t="shared" ref="H15:H20" si="8">CEILING(H9+H9/2.5, 10)</f>
        <v>11830</v>
      </c>
      <c r="I15" s="989">
        <f t="shared" si="0"/>
        <v>2700</v>
      </c>
      <c r="J15" s="989">
        <f t="shared" si="6"/>
        <v>400</v>
      </c>
      <c r="K15" s="995" t="e">
        <f t="shared" si="1"/>
        <v>#REF!</v>
      </c>
      <c r="L15" s="1017" t="e">
        <f t="shared" ref="L15:L20" si="9">G15*1.1</f>
        <v>#REF!</v>
      </c>
      <c r="M15" s="989">
        <f t="shared" si="2"/>
        <v>11830</v>
      </c>
      <c r="N15" s="989">
        <f t="shared" si="3"/>
        <v>2700</v>
      </c>
      <c r="O15" s="989">
        <f t="shared" si="4"/>
        <v>400</v>
      </c>
      <c r="P15" s="995" t="e">
        <f t="shared" si="5"/>
        <v>#REF!</v>
      </c>
    </row>
    <row r="16" spans="1:23" ht="35.1" customHeight="1" outlineLevel="1">
      <c r="A16" s="3405"/>
      <c r="B16" s="3407"/>
      <c r="C16" s="1009">
        <v>2100</v>
      </c>
      <c r="D16" s="992" t="e">
        <f>#REF!</f>
        <v>#REF!</v>
      </c>
      <c r="E16" s="992"/>
      <c r="F16" s="1010">
        <v>2</v>
      </c>
      <c r="G16" s="1018" t="e">
        <f t="shared" si="7"/>
        <v>#REF!</v>
      </c>
      <c r="H16" s="990">
        <f t="shared" si="8"/>
        <v>11830</v>
      </c>
      <c r="I16" s="990">
        <f t="shared" si="0"/>
        <v>2700</v>
      </c>
      <c r="J16" s="990">
        <f t="shared" si="6"/>
        <v>400</v>
      </c>
      <c r="K16" s="996" t="e">
        <f t="shared" si="1"/>
        <v>#REF!</v>
      </c>
      <c r="L16" s="1018" t="e">
        <f t="shared" si="9"/>
        <v>#REF!</v>
      </c>
      <c r="M16" s="990">
        <f t="shared" si="2"/>
        <v>11830</v>
      </c>
      <c r="N16" s="990">
        <f t="shared" si="3"/>
        <v>2700</v>
      </c>
      <c r="O16" s="990">
        <f t="shared" si="4"/>
        <v>400</v>
      </c>
      <c r="P16" s="996" t="e">
        <f t="shared" si="5"/>
        <v>#REF!</v>
      </c>
    </row>
    <row r="17" spans="1:19" ht="35.1" customHeight="1" outlineLevel="1">
      <c r="A17" s="3405"/>
      <c r="B17" s="3407"/>
      <c r="C17" s="988">
        <v>2200</v>
      </c>
      <c r="D17" s="991" t="e">
        <f>#REF!</f>
        <v>#REF!</v>
      </c>
      <c r="E17" s="991"/>
      <c r="F17" s="993">
        <v>2</v>
      </c>
      <c r="G17" s="1017" t="e">
        <f t="shared" si="7"/>
        <v>#REF!</v>
      </c>
      <c r="H17" s="989">
        <f t="shared" si="8"/>
        <v>13610</v>
      </c>
      <c r="I17" s="989">
        <f t="shared" si="0"/>
        <v>2700</v>
      </c>
      <c r="J17" s="989">
        <f t="shared" si="6"/>
        <v>400</v>
      </c>
      <c r="K17" s="995" t="e">
        <f t="shared" si="1"/>
        <v>#REF!</v>
      </c>
      <c r="L17" s="1017" t="e">
        <f t="shared" si="9"/>
        <v>#REF!</v>
      </c>
      <c r="M17" s="989">
        <f t="shared" si="2"/>
        <v>13610</v>
      </c>
      <c r="N17" s="989">
        <f t="shared" si="3"/>
        <v>2700</v>
      </c>
      <c r="O17" s="989">
        <f t="shared" si="4"/>
        <v>400</v>
      </c>
      <c r="P17" s="995" t="e">
        <f t="shared" si="5"/>
        <v>#REF!</v>
      </c>
    </row>
    <row r="18" spans="1:19" ht="35.1" customHeight="1" outlineLevel="1">
      <c r="A18" s="3405"/>
      <c r="B18" s="3407"/>
      <c r="C18" s="1009">
        <v>2300</v>
      </c>
      <c r="D18" s="992" t="e">
        <f>#REF!</f>
        <v>#REF!</v>
      </c>
      <c r="E18" s="992"/>
      <c r="F18" s="1010">
        <v>3</v>
      </c>
      <c r="G18" s="1018" t="e">
        <f t="shared" si="7"/>
        <v>#REF!</v>
      </c>
      <c r="H18" s="990">
        <f t="shared" si="8"/>
        <v>13610</v>
      </c>
      <c r="I18" s="990">
        <f t="shared" si="0"/>
        <v>4050</v>
      </c>
      <c r="J18" s="990">
        <f t="shared" si="6"/>
        <v>400</v>
      </c>
      <c r="K18" s="996" t="e">
        <f t="shared" si="1"/>
        <v>#REF!</v>
      </c>
      <c r="L18" s="1018" t="e">
        <f t="shared" si="9"/>
        <v>#REF!</v>
      </c>
      <c r="M18" s="990">
        <f t="shared" si="2"/>
        <v>13610</v>
      </c>
      <c r="N18" s="990">
        <f t="shared" si="3"/>
        <v>4050</v>
      </c>
      <c r="O18" s="990">
        <f t="shared" si="4"/>
        <v>400</v>
      </c>
      <c r="P18" s="996" t="e">
        <f t="shared" si="5"/>
        <v>#REF!</v>
      </c>
    </row>
    <row r="19" spans="1:19" ht="35.1" customHeight="1" outlineLevel="1">
      <c r="A19" s="3405"/>
      <c r="B19" s="3407"/>
      <c r="C19" s="988">
        <v>2400</v>
      </c>
      <c r="D19" s="991" t="e">
        <f>#REF!</f>
        <v>#REF!</v>
      </c>
      <c r="E19" s="991"/>
      <c r="F19" s="993">
        <v>3</v>
      </c>
      <c r="G19" s="1017" t="e">
        <f t="shared" si="7"/>
        <v>#REF!</v>
      </c>
      <c r="H19" s="989">
        <f t="shared" si="8"/>
        <v>15980</v>
      </c>
      <c r="I19" s="989">
        <f t="shared" si="0"/>
        <v>4050</v>
      </c>
      <c r="J19" s="989">
        <f t="shared" si="6"/>
        <v>400</v>
      </c>
      <c r="K19" s="995" t="e">
        <f t="shared" si="1"/>
        <v>#REF!</v>
      </c>
      <c r="L19" s="1017" t="e">
        <f t="shared" si="9"/>
        <v>#REF!</v>
      </c>
      <c r="M19" s="989">
        <f t="shared" si="2"/>
        <v>15980</v>
      </c>
      <c r="N19" s="989">
        <f t="shared" si="3"/>
        <v>4050</v>
      </c>
      <c r="O19" s="989">
        <f t="shared" si="4"/>
        <v>400</v>
      </c>
      <c r="P19" s="995" t="e">
        <f t="shared" si="5"/>
        <v>#REF!</v>
      </c>
    </row>
    <row r="20" spans="1:19" ht="35.1" customHeight="1" outlineLevel="1" thickBot="1">
      <c r="A20" s="3405"/>
      <c r="B20" s="3407"/>
      <c r="C20" s="1009">
        <v>2500</v>
      </c>
      <c r="D20" s="992" t="e">
        <f>#REF!</f>
        <v>#REF!</v>
      </c>
      <c r="E20" s="992"/>
      <c r="F20" s="1010">
        <v>3</v>
      </c>
      <c r="G20" s="1019" t="e">
        <f t="shared" si="7"/>
        <v>#REF!</v>
      </c>
      <c r="H20" s="997">
        <f t="shared" si="8"/>
        <v>15980</v>
      </c>
      <c r="I20" s="997">
        <f t="shared" si="0"/>
        <v>4050</v>
      </c>
      <c r="J20" s="997">
        <f t="shared" si="6"/>
        <v>400</v>
      </c>
      <c r="K20" s="998" t="e">
        <f t="shared" si="1"/>
        <v>#REF!</v>
      </c>
      <c r="L20" s="1019" t="e">
        <f t="shared" si="9"/>
        <v>#REF!</v>
      </c>
      <c r="M20" s="997">
        <f t="shared" si="2"/>
        <v>15980</v>
      </c>
      <c r="N20" s="997">
        <f t="shared" si="3"/>
        <v>4050</v>
      </c>
      <c r="O20" s="997">
        <f t="shared" si="4"/>
        <v>400</v>
      </c>
      <c r="P20" s="998" t="e">
        <f t="shared" si="5"/>
        <v>#REF!</v>
      </c>
    </row>
    <row r="21" spans="1:19" s="471" customFormat="1" ht="15" customHeight="1" outlineLevel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9" s="435" customFormat="1" ht="31.5" customHeight="1" thickBot="1">
      <c r="A22" s="3412" t="s">
        <v>1123</v>
      </c>
      <c r="B22" s="3412"/>
      <c r="C22" s="3412"/>
      <c r="D22" s="3412"/>
      <c r="E22" s="3412"/>
      <c r="F22" s="3412"/>
      <c r="G22" s="3412"/>
      <c r="H22" s="3412"/>
      <c r="I22" s="1008"/>
      <c r="J22" s="1008"/>
      <c r="K22" s="1008"/>
      <c r="L22" s="433"/>
      <c r="M22" s="433"/>
      <c r="N22" s="433"/>
      <c r="O22" s="433"/>
      <c r="P22" s="433"/>
    </row>
    <row r="23" spans="1:19" s="84" customFormat="1" ht="18" customHeight="1" outlineLevel="1">
      <c r="A23" s="3409" t="s">
        <v>1</v>
      </c>
      <c r="B23" s="3410" t="s">
        <v>1084</v>
      </c>
      <c r="C23" s="3410" t="s">
        <v>1093</v>
      </c>
      <c r="D23" s="3410" t="s">
        <v>1127</v>
      </c>
      <c r="E23" s="1015"/>
      <c r="F23" s="3411" t="s">
        <v>1085</v>
      </c>
      <c r="G23" s="3402" t="s">
        <v>1086</v>
      </c>
      <c r="H23" s="3403"/>
      <c r="I23" s="3403"/>
      <c r="J23" s="3403"/>
      <c r="K23" s="3404"/>
      <c r="L23" s="3402" t="s">
        <v>1087</v>
      </c>
      <c r="M23" s="3403"/>
      <c r="N23" s="3403"/>
      <c r="O23" s="3403"/>
      <c r="P23" s="3404"/>
    </row>
    <row r="24" spans="1:19" s="84" customFormat="1" ht="79.5" customHeight="1" outlineLevel="1">
      <c r="A24" s="3409"/>
      <c r="B24" s="3410"/>
      <c r="C24" s="3410"/>
      <c r="D24" s="3410"/>
      <c r="E24" s="1015"/>
      <c r="F24" s="3411"/>
      <c r="G24" s="1016" t="s">
        <v>1122</v>
      </c>
      <c r="H24" s="987" t="str">
        <f>Алюм.погонаж!E4</f>
        <v>ПРЯМ.СК (ПСК)/ОБР.СК (ОСК)</v>
      </c>
      <c r="I24" s="987" t="s">
        <v>1133</v>
      </c>
      <c r="J24" s="987" t="str">
        <f>J8</f>
        <v>Магнитный замок PUNTO с ответной планкой (хром)</v>
      </c>
      <c r="K24" s="994" t="s">
        <v>1088</v>
      </c>
      <c r="L24" s="1016" t="s">
        <v>1096</v>
      </c>
      <c r="M24" s="987" t="s">
        <v>1094</v>
      </c>
      <c r="N24" s="987" t="s">
        <v>1098</v>
      </c>
      <c r="O24" s="987" t="s">
        <v>1095</v>
      </c>
      <c r="P24" s="994" t="s">
        <v>1089</v>
      </c>
    </row>
    <row r="25" spans="1:19" ht="35.1" customHeight="1" outlineLevel="1">
      <c r="A25" s="3405" t="s">
        <v>1090</v>
      </c>
      <c r="B25" s="3406" t="s">
        <v>1132</v>
      </c>
      <c r="C25" s="988">
        <v>2000</v>
      </c>
      <c r="D25" s="991">
        <f>D9</f>
        <v>0</v>
      </c>
      <c r="E25" s="991">
        <v>7700</v>
      </c>
      <c r="F25" s="993">
        <v>2</v>
      </c>
      <c r="G25" s="1017">
        <f>CEILING((Techno_Porte!$G$7+Алюм.погонаж!$H$27)*(1-G2), 10)</f>
        <v>11710</v>
      </c>
      <c r="H25" s="989" t="e">
        <f>CEILING(Алюм.погонаж!#REF!*(1-$G$2), 10)</f>
        <v>#REF!</v>
      </c>
      <c r="I25" s="989">
        <f>1475*F25</f>
        <v>2950</v>
      </c>
      <c r="J25" s="989">
        <f>J9</f>
        <v>400</v>
      </c>
      <c r="K25" s="995" t="e">
        <f>G25+H25+I25+J25</f>
        <v>#REF!</v>
      </c>
      <c r="L25" s="1017">
        <f>CEILING((Techno_Porte!J7+Алюм.погонаж!H27)*(1-'Скрытая дверь ОПТ'!G2), 10)</f>
        <v>14030</v>
      </c>
      <c r="M25" s="989" t="e">
        <f t="shared" ref="M25:O26" si="10">H25</f>
        <v>#REF!</v>
      </c>
      <c r="N25" s="989">
        <f t="shared" si="10"/>
        <v>2950</v>
      </c>
      <c r="O25" s="989">
        <f t="shared" si="10"/>
        <v>400</v>
      </c>
      <c r="P25" s="995" t="e">
        <f>L25+M25+N25+[3]Фурнитура!E46</f>
        <v>#REF!</v>
      </c>
      <c r="R25" s="73">
        <v>18320</v>
      </c>
      <c r="S25" s="73">
        <v>19530</v>
      </c>
    </row>
    <row r="26" spans="1:19" ht="35.1" customHeight="1" outlineLevel="1">
      <c r="A26" s="3405"/>
      <c r="B26" s="3406"/>
      <c r="C26" s="1009">
        <v>2100</v>
      </c>
      <c r="D26" s="992">
        <f>D10</f>
        <v>0</v>
      </c>
      <c r="E26" s="992">
        <v>8470</v>
      </c>
      <c r="F26" s="1010">
        <v>2</v>
      </c>
      <c r="G26" s="1018">
        <f>G25*(1+D26)</f>
        <v>11710</v>
      </c>
      <c r="H26" s="990" t="e">
        <f>CEILING(Алюм.погонаж!#REF!*(1-$G$2), 10)</f>
        <v>#REF!</v>
      </c>
      <c r="I26" s="990">
        <f t="shared" ref="I26:I36" si="11">1475*F26</f>
        <v>2950</v>
      </c>
      <c r="J26" s="990">
        <f t="shared" ref="J26:J36" si="12">J10</f>
        <v>400</v>
      </c>
      <c r="K26" s="996" t="e">
        <f t="shared" ref="K26:K36" si="13">G26+H26+I26+J26</f>
        <v>#REF!</v>
      </c>
      <c r="L26" s="1018">
        <f>$L$25*(1+D26)</f>
        <v>14030</v>
      </c>
      <c r="M26" s="990" t="e">
        <f t="shared" si="10"/>
        <v>#REF!</v>
      </c>
      <c r="N26" s="990">
        <f t="shared" si="10"/>
        <v>2950</v>
      </c>
      <c r="O26" s="990">
        <f t="shared" si="10"/>
        <v>400</v>
      </c>
      <c r="P26" s="996" t="e">
        <f>L26+M26+N26+[3]Фурнитура!E47</f>
        <v>#REF!</v>
      </c>
    </row>
    <row r="27" spans="1:19" ht="35.1" customHeight="1" outlineLevel="1">
      <c r="A27" s="3405"/>
      <c r="B27" s="3406"/>
      <c r="C27" s="988">
        <v>2200</v>
      </c>
      <c r="D27" s="991" t="e">
        <f t="shared" ref="D27:D36" si="14">D11</f>
        <v>#REF!</v>
      </c>
      <c r="E27" s="991">
        <v>9625</v>
      </c>
      <c r="F27" s="993">
        <v>2</v>
      </c>
      <c r="G27" s="1017" t="e">
        <f t="shared" ref="G27:G36" si="15">CEILING($G$25*(1+D27), 10)</f>
        <v>#REF!</v>
      </c>
      <c r="H27" s="989" t="e">
        <f>CEILING(Алюм.погонаж!#REF!*(1-$G$2), 10)</f>
        <v>#REF!</v>
      </c>
      <c r="I27" s="989">
        <f t="shared" si="11"/>
        <v>2950</v>
      </c>
      <c r="J27" s="989">
        <f t="shared" si="12"/>
        <v>400</v>
      </c>
      <c r="K27" s="995" t="e">
        <f t="shared" si="13"/>
        <v>#REF!</v>
      </c>
      <c r="L27" s="1017" t="e">
        <f t="shared" ref="L27:L36" si="16">CEILING($L$25*(1+D27), 10)</f>
        <v>#REF!</v>
      </c>
      <c r="M27" s="989" t="e">
        <f t="shared" ref="M27:M36" si="17">H27</f>
        <v>#REF!</v>
      </c>
      <c r="N27" s="989">
        <f t="shared" ref="N27:N36" si="18">I27</f>
        <v>2950</v>
      </c>
      <c r="O27" s="989">
        <f t="shared" ref="O27:O36" si="19">J27</f>
        <v>400</v>
      </c>
      <c r="P27" s="995" t="e">
        <f>L27+M27+N27+[3]Фурнитура!E48</f>
        <v>#REF!</v>
      </c>
    </row>
    <row r="28" spans="1:19" ht="35.1" customHeight="1" outlineLevel="1">
      <c r="A28" s="3405"/>
      <c r="B28" s="3406"/>
      <c r="C28" s="1009">
        <v>2300</v>
      </c>
      <c r="D28" s="992" t="e">
        <f t="shared" si="14"/>
        <v>#REF!</v>
      </c>
      <c r="E28" s="992">
        <v>10780</v>
      </c>
      <c r="F28" s="1010">
        <v>3</v>
      </c>
      <c r="G28" s="1018" t="e">
        <f t="shared" si="15"/>
        <v>#REF!</v>
      </c>
      <c r="H28" s="990" t="e">
        <f>CEILING(Алюм.погонаж!#REF!*(1-$G$2), 10)</f>
        <v>#REF!</v>
      </c>
      <c r="I28" s="990">
        <f t="shared" si="11"/>
        <v>4425</v>
      </c>
      <c r="J28" s="990">
        <f t="shared" si="12"/>
        <v>400</v>
      </c>
      <c r="K28" s="996" t="e">
        <f t="shared" si="13"/>
        <v>#REF!</v>
      </c>
      <c r="L28" s="1018" t="e">
        <f t="shared" si="16"/>
        <v>#REF!</v>
      </c>
      <c r="M28" s="990" t="e">
        <f t="shared" si="17"/>
        <v>#REF!</v>
      </c>
      <c r="N28" s="990">
        <f t="shared" si="18"/>
        <v>4425</v>
      </c>
      <c r="O28" s="990">
        <f t="shared" si="19"/>
        <v>400</v>
      </c>
      <c r="P28" s="996" t="e">
        <f>L28+M28+N28+[3]Фурнитура!E49</f>
        <v>#REF!</v>
      </c>
    </row>
    <row r="29" spans="1:19" ht="35.1" customHeight="1" outlineLevel="1">
      <c r="A29" s="3405"/>
      <c r="B29" s="3406"/>
      <c r="C29" s="988">
        <v>2400</v>
      </c>
      <c r="D29" s="991" t="e">
        <f t="shared" si="14"/>
        <v>#REF!</v>
      </c>
      <c r="E29" s="991"/>
      <c r="F29" s="993">
        <v>3</v>
      </c>
      <c r="G29" s="1017" t="e">
        <f t="shared" si="15"/>
        <v>#REF!</v>
      </c>
      <c r="H29" s="989" t="e">
        <f>CEILING(Алюм.погонаж!#REF!*(1-$G$2), 10)</f>
        <v>#REF!</v>
      </c>
      <c r="I29" s="989">
        <f t="shared" si="11"/>
        <v>4425</v>
      </c>
      <c r="J29" s="989">
        <f t="shared" si="12"/>
        <v>400</v>
      </c>
      <c r="K29" s="995" t="e">
        <f t="shared" si="13"/>
        <v>#REF!</v>
      </c>
      <c r="L29" s="1017" t="e">
        <f t="shared" si="16"/>
        <v>#REF!</v>
      </c>
      <c r="M29" s="989" t="e">
        <f t="shared" si="17"/>
        <v>#REF!</v>
      </c>
      <c r="N29" s="989">
        <f t="shared" si="18"/>
        <v>4425</v>
      </c>
      <c r="O29" s="989">
        <f t="shared" si="19"/>
        <v>400</v>
      </c>
      <c r="P29" s="995" t="e">
        <f>L29+M29+N29+[3]Фурнитура!E50</f>
        <v>#REF!</v>
      </c>
    </row>
    <row r="30" spans="1:19" ht="35.1" customHeight="1" outlineLevel="1">
      <c r="A30" s="3405"/>
      <c r="B30" s="3406"/>
      <c r="C30" s="1009">
        <v>2500</v>
      </c>
      <c r="D30" s="992" t="e">
        <f t="shared" si="14"/>
        <v>#REF!</v>
      </c>
      <c r="E30" s="992"/>
      <c r="F30" s="1010">
        <v>3</v>
      </c>
      <c r="G30" s="1018" t="e">
        <f t="shared" si="15"/>
        <v>#REF!</v>
      </c>
      <c r="H30" s="990" t="e">
        <f>CEILING(Алюм.погонаж!#REF!*(1-$G$2), 10)</f>
        <v>#REF!</v>
      </c>
      <c r="I30" s="990">
        <f t="shared" si="11"/>
        <v>4425</v>
      </c>
      <c r="J30" s="990">
        <f t="shared" si="12"/>
        <v>400</v>
      </c>
      <c r="K30" s="996" t="e">
        <f t="shared" si="13"/>
        <v>#REF!</v>
      </c>
      <c r="L30" s="1018" t="e">
        <f t="shared" si="16"/>
        <v>#REF!</v>
      </c>
      <c r="M30" s="990" t="e">
        <f t="shared" si="17"/>
        <v>#REF!</v>
      </c>
      <c r="N30" s="990">
        <f t="shared" si="18"/>
        <v>4425</v>
      </c>
      <c r="O30" s="990">
        <f t="shared" si="19"/>
        <v>400</v>
      </c>
      <c r="P30" s="996" t="e">
        <f>L30+M30+N30+[3]Фурнитура!E51</f>
        <v>#REF!</v>
      </c>
    </row>
    <row r="31" spans="1:19" ht="35.1" customHeight="1" outlineLevel="1">
      <c r="A31" s="3405"/>
      <c r="B31" s="3407">
        <v>900</v>
      </c>
      <c r="C31" s="988">
        <v>2000</v>
      </c>
      <c r="D31" s="991" t="e">
        <f t="shared" si="14"/>
        <v>#REF!</v>
      </c>
      <c r="E31" s="991"/>
      <c r="F31" s="993">
        <v>2</v>
      </c>
      <c r="G31" s="1017" t="e">
        <f t="shared" si="15"/>
        <v>#REF!</v>
      </c>
      <c r="H31" s="989" t="e">
        <f t="shared" ref="H31:H36" si="20">CEILING(H25+H25/2.5, 10)</f>
        <v>#REF!</v>
      </c>
      <c r="I31" s="989">
        <f t="shared" si="11"/>
        <v>2950</v>
      </c>
      <c r="J31" s="989">
        <f t="shared" si="12"/>
        <v>400</v>
      </c>
      <c r="K31" s="995" t="e">
        <f t="shared" si="13"/>
        <v>#REF!</v>
      </c>
      <c r="L31" s="1017" t="e">
        <f t="shared" si="16"/>
        <v>#REF!</v>
      </c>
      <c r="M31" s="989" t="e">
        <f t="shared" si="17"/>
        <v>#REF!</v>
      </c>
      <c r="N31" s="989">
        <f t="shared" si="18"/>
        <v>2950</v>
      </c>
      <c r="O31" s="989">
        <f t="shared" si="19"/>
        <v>400</v>
      </c>
      <c r="P31" s="995" t="e">
        <f>L31+M31+N31+[3]Фурнитура!E52</f>
        <v>#REF!</v>
      </c>
    </row>
    <row r="32" spans="1:19" ht="35.1" customHeight="1" outlineLevel="1">
      <c r="A32" s="3405"/>
      <c r="B32" s="3407"/>
      <c r="C32" s="1009">
        <v>2100</v>
      </c>
      <c r="D32" s="992" t="e">
        <f t="shared" si="14"/>
        <v>#REF!</v>
      </c>
      <c r="E32" s="992"/>
      <c r="F32" s="1010">
        <v>2</v>
      </c>
      <c r="G32" s="1018" t="e">
        <f t="shared" si="15"/>
        <v>#REF!</v>
      </c>
      <c r="H32" s="990" t="e">
        <f t="shared" si="20"/>
        <v>#REF!</v>
      </c>
      <c r="I32" s="990">
        <f t="shared" si="11"/>
        <v>2950</v>
      </c>
      <c r="J32" s="990">
        <f t="shared" si="12"/>
        <v>400</v>
      </c>
      <c r="K32" s="996" t="e">
        <f t="shared" si="13"/>
        <v>#REF!</v>
      </c>
      <c r="L32" s="1018" t="e">
        <f t="shared" si="16"/>
        <v>#REF!</v>
      </c>
      <c r="M32" s="990" t="e">
        <f t="shared" si="17"/>
        <v>#REF!</v>
      </c>
      <c r="N32" s="990">
        <f t="shared" si="18"/>
        <v>2950</v>
      </c>
      <c r="O32" s="990">
        <f t="shared" si="19"/>
        <v>400</v>
      </c>
      <c r="P32" s="996" t="e">
        <f>L32+M32+N32+[3]Фурнитура!E51</f>
        <v>#REF!</v>
      </c>
    </row>
    <row r="33" spans="1:19" ht="35.1" customHeight="1" outlineLevel="1">
      <c r="A33" s="3405"/>
      <c r="B33" s="3407"/>
      <c r="C33" s="988">
        <v>2200</v>
      </c>
      <c r="D33" s="991" t="e">
        <f t="shared" si="14"/>
        <v>#REF!</v>
      </c>
      <c r="E33" s="991"/>
      <c r="F33" s="993">
        <v>2</v>
      </c>
      <c r="G33" s="1017" t="e">
        <f t="shared" si="15"/>
        <v>#REF!</v>
      </c>
      <c r="H33" s="989" t="e">
        <f t="shared" si="20"/>
        <v>#REF!</v>
      </c>
      <c r="I33" s="989">
        <f t="shared" si="11"/>
        <v>2950</v>
      </c>
      <c r="J33" s="989">
        <f t="shared" si="12"/>
        <v>400</v>
      </c>
      <c r="K33" s="995" t="e">
        <f t="shared" si="13"/>
        <v>#REF!</v>
      </c>
      <c r="L33" s="1017" t="e">
        <f t="shared" si="16"/>
        <v>#REF!</v>
      </c>
      <c r="M33" s="989" t="e">
        <f t="shared" si="17"/>
        <v>#REF!</v>
      </c>
      <c r="N33" s="989">
        <f t="shared" si="18"/>
        <v>2950</v>
      </c>
      <c r="O33" s="989">
        <f t="shared" si="19"/>
        <v>400</v>
      </c>
      <c r="P33" s="995" t="e">
        <f>L33+M33+N33+[3]Фурнитура!E52</f>
        <v>#REF!</v>
      </c>
    </row>
    <row r="34" spans="1:19" ht="35.1" customHeight="1" outlineLevel="1">
      <c r="A34" s="3405"/>
      <c r="B34" s="3407"/>
      <c r="C34" s="1009">
        <v>2300</v>
      </c>
      <c r="D34" s="992" t="e">
        <f t="shared" si="14"/>
        <v>#REF!</v>
      </c>
      <c r="E34" s="992"/>
      <c r="F34" s="1010">
        <v>3</v>
      </c>
      <c r="G34" s="1018" t="e">
        <f t="shared" si="15"/>
        <v>#REF!</v>
      </c>
      <c r="H34" s="990" t="e">
        <f t="shared" si="20"/>
        <v>#REF!</v>
      </c>
      <c r="I34" s="990">
        <f t="shared" si="11"/>
        <v>4425</v>
      </c>
      <c r="J34" s="990">
        <f t="shared" si="12"/>
        <v>400</v>
      </c>
      <c r="K34" s="996" t="e">
        <f t="shared" si="13"/>
        <v>#REF!</v>
      </c>
      <c r="L34" s="1018" t="e">
        <f t="shared" si="16"/>
        <v>#REF!</v>
      </c>
      <c r="M34" s="990" t="e">
        <f t="shared" si="17"/>
        <v>#REF!</v>
      </c>
      <c r="N34" s="990">
        <f t="shared" si="18"/>
        <v>4425</v>
      </c>
      <c r="O34" s="990">
        <f t="shared" si="19"/>
        <v>400</v>
      </c>
      <c r="P34" s="996" t="e">
        <f>L34+M34+N34+[3]Фурнитура!E53</f>
        <v>#REF!</v>
      </c>
    </row>
    <row r="35" spans="1:19" ht="35.1" customHeight="1" outlineLevel="1">
      <c r="A35" s="3405"/>
      <c r="B35" s="3407"/>
      <c r="C35" s="988">
        <v>2400</v>
      </c>
      <c r="D35" s="991" t="e">
        <f t="shared" si="14"/>
        <v>#REF!</v>
      </c>
      <c r="E35" s="991"/>
      <c r="F35" s="993">
        <v>3</v>
      </c>
      <c r="G35" s="1017" t="e">
        <f t="shared" si="15"/>
        <v>#REF!</v>
      </c>
      <c r="H35" s="989" t="e">
        <f t="shared" si="20"/>
        <v>#REF!</v>
      </c>
      <c r="I35" s="989">
        <f t="shared" si="11"/>
        <v>4425</v>
      </c>
      <c r="J35" s="989">
        <f t="shared" si="12"/>
        <v>400</v>
      </c>
      <c r="K35" s="995" t="e">
        <f t="shared" si="13"/>
        <v>#REF!</v>
      </c>
      <c r="L35" s="1017" t="e">
        <f t="shared" si="16"/>
        <v>#REF!</v>
      </c>
      <c r="M35" s="989" t="e">
        <f t="shared" si="17"/>
        <v>#REF!</v>
      </c>
      <c r="N35" s="989">
        <f t="shared" si="18"/>
        <v>4425</v>
      </c>
      <c r="O35" s="989">
        <f t="shared" si="19"/>
        <v>400</v>
      </c>
      <c r="P35" s="995" t="e">
        <f>L35+M35+N35+[3]Фурнитура!E54</f>
        <v>#REF!</v>
      </c>
    </row>
    <row r="36" spans="1:19" ht="35.1" customHeight="1" outlineLevel="1" thickBot="1">
      <c r="A36" s="3405"/>
      <c r="B36" s="3407"/>
      <c r="C36" s="1009">
        <v>2500</v>
      </c>
      <c r="D36" s="992" t="e">
        <f t="shared" si="14"/>
        <v>#REF!</v>
      </c>
      <c r="E36" s="992"/>
      <c r="F36" s="1010">
        <v>3</v>
      </c>
      <c r="G36" s="1019" t="e">
        <f t="shared" si="15"/>
        <v>#REF!</v>
      </c>
      <c r="H36" s="997" t="e">
        <f t="shared" si="20"/>
        <v>#REF!</v>
      </c>
      <c r="I36" s="997">
        <f t="shared" si="11"/>
        <v>4425</v>
      </c>
      <c r="J36" s="997">
        <f t="shared" si="12"/>
        <v>400</v>
      </c>
      <c r="K36" s="998" t="e">
        <f t="shared" si="13"/>
        <v>#REF!</v>
      </c>
      <c r="L36" s="1019" t="e">
        <f t="shared" si="16"/>
        <v>#REF!</v>
      </c>
      <c r="M36" s="997" t="e">
        <f t="shared" si="17"/>
        <v>#REF!</v>
      </c>
      <c r="N36" s="997">
        <f t="shared" si="18"/>
        <v>4425</v>
      </c>
      <c r="O36" s="997">
        <f t="shared" si="19"/>
        <v>400</v>
      </c>
      <c r="P36" s="998" t="e">
        <f>L36+M36+N36+[3]Фурнитура!E62</f>
        <v>#REF!</v>
      </c>
    </row>
    <row r="37" spans="1:19" s="471" customFormat="1" ht="1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9" s="435" customFormat="1" ht="31.5" customHeight="1" thickBot="1">
      <c r="A38" s="3412" t="s">
        <v>1124</v>
      </c>
      <c r="B38" s="3412"/>
      <c r="C38" s="3412"/>
      <c r="D38" s="3412"/>
      <c r="E38" s="3412"/>
      <c r="F38" s="3412"/>
      <c r="G38" s="3408"/>
      <c r="H38" s="3408"/>
      <c r="I38" s="1008"/>
      <c r="J38" s="1008"/>
      <c r="K38" s="1008"/>
      <c r="L38" s="433"/>
      <c r="M38" s="433"/>
      <c r="N38" s="433"/>
      <c r="O38" s="433"/>
      <c r="P38" s="433"/>
    </row>
    <row r="39" spans="1:19" s="84" customFormat="1" ht="18" customHeight="1" outlineLevel="1">
      <c r="A39" s="3409" t="s">
        <v>1</v>
      </c>
      <c r="B39" s="3410" t="s">
        <v>1084</v>
      </c>
      <c r="C39" s="3410" t="s">
        <v>1093</v>
      </c>
      <c r="D39" s="3410" t="s">
        <v>1099</v>
      </c>
      <c r="E39" s="1015"/>
      <c r="F39" s="3411" t="s">
        <v>1085</v>
      </c>
      <c r="G39" s="3402" t="s">
        <v>1086</v>
      </c>
      <c r="H39" s="3403"/>
      <c r="I39" s="3403"/>
      <c r="J39" s="3403"/>
      <c r="K39" s="3404"/>
      <c r="L39" s="3402" t="s">
        <v>1087</v>
      </c>
      <c r="M39" s="3403"/>
      <c r="N39" s="3403"/>
      <c r="O39" s="3403"/>
      <c r="P39" s="3404"/>
    </row>
    <row r="40" spans="1:19" s="84" customFormat="1" ht="79.5" customHeight="1" outlineLevel="1">
      <c r="A40" s="3409"/>
      <c r="B40" s="3410"/>
      <c r="C40" s="3410"/>
      <c r="D40" s="3410"/>
      <c r="E40" s="1015"/>
      <c r="F40" s="3411"/>
      <c r="G40" s="1016" t="s">
        <v>1092</v>
      </c>
      <c r="H40" s="987" t="s">
        <v>1128</v>
      </c>
      <c r="I40" s="987" t="s">
        <v>1129</v>
      </c>
      <c r="J40" s="987" t="s">
        <v>1130</v>
      </c>
      <c r="K40" s="994" t="s">
        <v>1102</v>
      </c>
      <c r="L40" s="1016" t="s">
        <v>1096</v>
      </c>
      <c r="M40" s="987" t="s">
        <v>1094</v>
      </c>
      <c r="N40" s="987" t="str">
        <f>I40</f>
        <v>Скрытые петли К6360
 (черные)</v>
      </c>
      <c r="O40" s="987" t="str">
        <f>J40</f>
        <v>Магнитный замок PUNTO с ответной планкой (черный)</v>
      </c>
      <c r="P40" s="994" t="s">
        <v>1103</v>
      </c>
    </row>
    <row r="41" spans="1:19" ht="35.1" customHeight="1" outlineLevel="1">
      <c r="A41" s="3405" t="s">
        <v>1090</v>
      </c>
      <c r="B41" s="3406" t="s">
        <v>1091</v>
      </c>
      <c r="C41" s="988">
        <v>2000</v>
      </c>
      <c r="D41" s="991">
        <f t="shared" ref="D41:D52" si="21">D9</f>
        <v>0</v>
      </c>
      <c r="E41" s="991"/>
      <c r="F41" s="993">
        <f t="shared" ref="F41:G52" si="22">F9</f>
        <v>2</v>
      </c>
      <c r="G41" s="1017">
        <f t="shared" si="22"/>
        <v>9280</v>
      </c>
      <c r="H41" s="989">
        <f>CEILING(Алюм.погонаж!F6*(1-$G$2), 10)</f>
        <v>9300</v>
      </c>
      <c r="I41" s="989">
        <f>1850*F41</f>
        <v>3700</v>
      </c>
      <c r="J41" s="989">
        <v>450</v>
      </c>
      <c r="K41" s="995">
        <f>G41+H41+I41+J41</f>
        <v>22730</v>
      </c>
      <c r="L41" s="1017">
        <f t="shared" ref="L41:L52" si="23">L9</f>
        <v>11590</v>
      </c>
      <c r="M41" s="989">
        <f>H41</f>
        <v>9300</v>
      </c>
      <c r="N41" s="989">
        <f>I41</f>
        <v>3700</v>
      </c>
      <c r="O41" s="989">
        <f>J41</f>
        <v>450</v>
      </c>
      <c r="P41" s="995">
        <f>L41+M41+N41+O41</f>
        <v>25040</v>
      </c>
      <c r="R41" s="73">
        <v>20230</v>
      </c>
      <c r="S41" s="73">
        <v>21450</v>
      </c>
    </row>
    <row r="42" spans="1:19" ht="35.1" customHeight="1" outlineLevel="1">
      <c r="A42" s="3405"/>
      <c r="B42" s="3406"/>
      <c r="C42" s="1009">
        <v>2100</v>
      </c>
      <c r="D42" s="992">
        <f t="shared" si="21"/>
        <v>0</v>
      </c>
      <c r="E42" s="992">
        <f>E10</f>
        <v>0.1</v>
      </c>
      <c r="F42" s="1010">
        <f t="shared" si="22"/>
        <v>2</v>
      </c>
      <c r="G42" s="1018">
        <f t="shared" si="22"/>
        <v>9280</v>
      </c>
      <c r="H42" s="990">
        <f>CEILING(Алюм.погонаж!F7*(1-$G$2), 10)</f>
        <v>9300</v>
      </c>
      <c r="I42" s="990">
        <f t="shared" ref="I42:I52" si="24">1850*F42</f>
        <v>3700</v>
      </c>
      <c r="J42" s="990">
        <f>J41</f>
        <v>450</v>
      </c>
      <c r="K42" s="996">
        <f t="shared" ref="K42:K52" si="25">G42+H42+I42+J42</f>
        <v>22730</v>
      </c>
      <c r="L42" s="1018" t="e">
        <f t="shared" si="23"/>
        <v>#REF!</v>
      </c>
      <c r="M42" s="990">
        <f>H42</f>
        <v>9300</v>
      </c>
      <c r="N42" s="990">
        <f>I42</f>
        <v>3700</v>
      </c>
      <c r="O42" s="990">
        <f t="shared" ref="O42:O52" si="26">J42</f>
        <v>450</v>
      </c>
      <c r="P42" s="996" t="e">
        <f t="shared" ref="P42:P52" si="27">L42+M42+N42+O42</f>
        <v>#REF!</v>
      </c>
    </row>
    <row r="43" spans="1:19" ht="35.1" customHeight="1" outlineLevel="1">
      <c r="A43" s="3405"/>
      <c r="B43" s="3406"/>
      <c r="C43" s="988">
        <v>2200</v>
      </c>
      <c r="D43" s="991" t="e">
        <f t="shared" si="21"/>
        <v>#REF!</v>
      </c>
      <c r="E43" s="991">
        <f>E11</f>
        <v>0.25</v>
      </c>
      <c r="F43" s="993">
        <f t="shared" si="22"/>
        <v>2</v>
      </c>
      <c r="G43" s="1017" t="e">
        <f t="shared" si="22"/>
        <v>#REF!</v>
      </c>
      <c r="H43" s="989">
        <f>CEILING(Алюм.погонаж!F8*(1-$G$2), 10)</f>
        <v>10700</v>
      </c>
      <c r="I43" s="989">
        <f t="shared" si="24"/>
        <v>3700</v>
      </c>
      <c r="J43" s="989">
        <f>J41</f>
        <v>450</v>
      </c>
      <c r="K43" s="995" t="e">
        <f t="shared" si="25"/>
        <v>#REF!</v>
      </c>
      <c r="L43" s="1017" t="e">
        <f t="shared" si="23"/>
        <v>#REF!</v>
      </c>
      <c r="M43" s="989">
        <f t="shared" ref="M43:M52" si="28">H43</f>
        <v>10700</v>
      </c>
      <c r="N43" s="989">
        <f t="shared" ref="N43:N52" si="29">I43</f>
        <v>3700</v>
      </c>
      <c r="O43" s="989">
        <f t="shared" si="26"/>
        <v>450</v>
      </c>
      <c r="P43" s="995" t="e">
        <f t="shared" si="27"/>
        <v>#REF!</v>
      </c>
    </row>
    <row r="44" spans="1:19" ht="35.1" customHeight="1" outlineLevel="1">
      <c r="A44" s="3405"/>
      <c r="B44" s="3406"/>
      <c r="C44" s="1009">
        <v>2300</v>
      </c>
      <c r="D44" s="992" t="e">
        <f t="shared" si="21"/>
        <v>#REF!</v>
      </c>
      <c r="E44" s="992">
        <f>E12</f>
        <v>0.4</v>
      </c>
      <c r="F44" s="1010">
        <f t="shared" si="22"/>
        <v>3</v>
      </c>
      <c r="G44" s="1018" t="e">
        <f t="shared" si="22"/>
        <v>#REF!</v>
      </c>
      <c r="H44" s="990">
        <f>CEILING(Алюм.погонаж!F9*(1-$G$2), 10)</f>
        <v>10700</v>
      </c>
      <c r="I44" s="990">
        <f t="shared" si="24"/>
        <v>5550</v>
      </c>
      <c r="J44" s="990">
        <f>J43</f>
        <v>450</v>
      </c>
      <c r="K44" s="996" t="e">
        <f t="shared" si="25"/>
        <v>#REF!</v>
      </c>
      <c r="L44" s="1018" t="e">
        <f t="shared" si="23"/>
        <v>#REF!</v>
      </c>
      <c r="M44" s="990">
        <f t="shared" si="28"/>
        <v>10700</v>
      </c>
      <c r="N44" s="990">
        <f t="shared" si="29"/>
        <v>5550</v>
      </c>
      <c r="O44" s="990">
        <f t="shared" si="26"/>
        <v>450</v>
      </c>
      <c r="P44" s="996" t="e">
        <f t="shared" si="27"/>
        <v>#REF!</v>
      </c>
    </row>
    <row r="45" spans="1:19" ht="35.1" customHeight="1" outlineLevel="1">
      <c r="A45" s="3405"/>
      <c r="B45" s="3406"/>
      <c r="C45" s="988">
        <v>2400</v>
      </c>
      <c r="D45" s="991" t="e">
        <f t="shared" si="21"/>
        <v>#REF!</v>
      </c>
      <c r="E45" s="991"/>
      <c r="F45" s="993">
        <f t="shared" si="22"/>
        <v>3</v>
      </c>
      <c r="G45" s="1017" t="e">
        <f t="shared" si="22"/>
        <v>#REF!</v>
      </c>
      <c r="H45" s="989">
        <f>CEILING(Алюм.погонаж!F10*(1-$G$2), 10)</f>
        <v>12560</v>
      </c>
      <c r="I45" s="989">
        <f t="shared" si="24"/>
        <v>5550</v>
      </c>
      <c r="J45" s="989">
        <f>J43</f>
        <v>450</v>
      </c>
      <c r="K45" s="995" t="e">
        <f t="shared" si="25"/>
        <v>#REF!</v>
      </c>
      <c r="L45" s="1017">
        <f t="shared" si="23"/>
        <v>12852.699999999999</v>
      </c>
      <c r="M45" s="989">
        <f t="shared" si="28"/>
        <v>12560</v>
      </c>
      <c r="N45" s="989">
        <f t="shared" si="29"/>
        <v>5550</v>
      </c>
      <c r="O45" s="989">
        <f t="shared" si="26"/>
        <v>450</v>
      </c>
      <c r="P45" s="995">
        <f t="shared" si="27"/>
        <v>31412.699999999997</v>
      </c>
    </row>
    <row r="46" spans="1:19" ht="35.1" customHeight="1" outlineLevel="1">
      <c r="A46" s="3405"/>
      <c r="B46" s="3406"/>
      <c r="C46" s="1009">
        <v>2500</v>
      </c>
      <c r="D46" s="992" t="e">
        <f t="shared" si="21"/>
        <v>#REF!</v>
      </c>
      <c r="E46" s="992"/>
      <c r="F46" s="1010">
        <f t="shared" si="22"/>
        <v>3</v>
      </c>
      <c r="G46" s="1018" t="e">
        <f t="shared" si="22"/>
        <v>#REF!</v>
      </c>
      <c r="H46" s="990">
        <f>CEILING(Алюм.погонаж!F11*(1-$G$2), 10)</f>
        <v>12560</v>
      </c>
      <c r="I46" s="990">
        <f t="shared" si="24"/>
        <v>5550</v>
      </c>
      <c r="J46" s="990">
        <f>J45</f>
        <v>450</v>
      </c>
      <c r="K46" s="996" t="e">
        <f t="shared" si="25"/>
        <v>#REF!</v>
      </c>
      <c r="L46" s="1018" t="e">
        <f t="shared" si="23"/>
        <v>#REF!</v>
      </c>
      <c r="M46" s="990">
        <f t="shared" si="28"/>
        <v>12560</v>
      </c>
      <c r="N46" s="990">
        <f t="shared" si="29"/>
        <v>5550</v>
      </c>
      <c r="O46" s="990">
        <f t="shared" si="26"/>
        <v>450</v>
      </c>
      <c r="P46" s="996" t="e">
        <f t="shared" si="27"/>
        <v>#REF!</v>
      </c>
    </row>
    <row r="47" spans="1:19" ht="35.1" customHeight="1" outlineLevel="1">
      <c r="A47" s="3405"/>
      <c r="B47" s="3407" t="s">
        <v>1131</v>
      </c>
      <c r="C47" s="988">
        <v>2000</v>
      </c>
      <c r="D47" s="991" t="e">
        <f t="shared" si="21"/>
        <v>#REF!</v>
      </c>
      <c r="E47" s="991"/>
      <c r="F47" s="993">
        <f t="shared" si="22"/>
        <v>2</v>
      </c>
      <c r="G47" s="1017" t="e">
        <f t="shared" si="22"/>
        <v>#REF!</v>
      </c>
      <c r="H47" s="989">
        <f t="shared" ref="H47:H52" si="30">CEILING(H41+H41/2.5, 10)</f>
        <v>13020</v>
      </c>
      <c r="I47" s="989">
        <f t="shared" si="24"/>
        <v>3700</v>
      </c>
      <c r="J47" s="989">
        <f>J45</f>
        <v>450</v>
      </c>
      <c r="K47" s="995" t="e">
        <f t="shared" si="25"/>
        <v>#REF!</v>
      </c>
      <c r="L47" s="1017" t="e">
        <f t="shared" si="23"/>
        <v>#REF!</v>
      </c>
      <c r="M47" s="989">
        <f t="shared" si="28"/>
        <v>13020</v>
      </c>
      <c r="N47" s="989">
        <f t="shared" si="29"/>
        <v>3700</v>
      </c>
      <c r="O47" s="989">
        <f t="shared" si="26"/>
        <v>450</v>
      </c>
      <c r="P47" s="995" t="e">
        <f t="shared" si="27"/>
        <v>#REF!</v>
      </c>
    </row>
    <row r="48" spans="1:19" ht="35.1" customHeight="1" outlineLevel="1">
      <c r="A48" s="3405"/>
      <c r="B48" s="3407"/>
      <c r="C48" s="1009">
        <v>2100</v>
      </c>
      <c r="D48" s="992" t="e">
        <f t="shared" si="21"/>
        <v>#REF!</v>
      </c>
      <c r="E48" s="992"/>
      <c r="F48" s="1010">
        <f t="shared" si="22"/>
        <v>2</v>
      </c>
      <c r="G48" s="1018" t="e">
        <f t="shared" si="22"/>
        <v>#REF!</v>
      </c>
      <c r="H48" s="990">
        <f t="shared" si="30"/>
        <v>13020</v>
      </c>
      <c r="I48" s="990">
        <f t="shared" si="24"/>
        <v>3700</v>
      </c>
      <c r="J48" s="990">
        <f>J47</f>
        <v>450</v>
      </c>
      <c r="K48" s="996" t="e">
        <f t="shared" si="25"/>
        <v>#REF!</v>
      </c>
      <c r="L48" s="1018" t="e">
        <f t="shared" si="23"/>
        <v>#REF!</v>
      </c>
      <c r="M48" s="990">
        <f t="shared" si="28"/>
        <v>13020</v>
      </c>
      <c r="N48" s="990">
        <f t="shared" si="29"/>
        <v>3700</v>
      </c>
      <c r="O48" s="990">
        <f t="shared" si="26"/>
        <v>450</v>
      </c>
      <c r="P48" s="996" t="e">
        <f t="shared" si="27"/>
        <v>#REF!</v>
      </c>
    </row>
    <row r="49" spans="1:19" ht="35.1" customHeight="1" outlineLevel="1">
      <c r="A49" s="3405"/>
      <c r="B49" s="3407"/>
      <c r="C49" s="988">
        <v>2200</v>
      </c>
      <c r="D49" s="991" t="e">
        <f t="shared" si="21"/>
        <v>#REF!</v>
      </c>
      <c r="E49" s="991"/>
      <c r="F49" s="993">
        <f t="shared" si="22"/>
        <v>2</v>
      </c>
      <c r="G49" s="1017" t="e">
        <f t="shared" si="22"/>
        <v>#REF!</v>
      </c>
      <c r="H49" s="989">
        <f t="shared" si="30"/>
        <v>14980</v>
      </c>
      <c r="I49" s="989">
        <f t="shared" si="24"/>
        <v>3700</v>
      </c>
      <c r="J49" s="989">
        <f>J47</f>
        <v>450</v>
      </c>
      <c r="K49" s="995" t="e">
        <f t="shared" si="25"/>
        <v>#REF!</v>
      </c>
      <c r="L49" s="1017" t="e">
        <f t="shared" si="23"/>
        <v>#REF!</v>
      </c>
      <c r="M49" s="989">
        <f t="shared" si="28"/>
        <v>14980</v>
      </c>
      <c r="N49" s="989">
        <f t="shared" si="29"/>
        <v>3700</v>
      </c>
      <c r="O49" s="989">
        <f t="shared" si="26"/>
        <v>450</v>
      </c>
      <c r="P49" s="995" t="e">
        <f t="shared" si="27"/>
        <v>#REF!</v>
      </c>
    </row>
    <row r="50" spans="1:19" ht="35.1" customHeight="1" outlineLevel="1">
      <c r="A50" s="3405"/>
      <c r="B50" s="3407"/>
      <c r="C50" s="1009">
        <v>2300</v>
      </c>
      <c r="D50" s="992" t="e">
        <f t="shared" si="21"/>
        <v>#REF!</v>
      </c>
      <c r="E50" s="992"/>
      <c r="F50" s="1010">
        <f t="shared" si="22"/>
        <v>3</v>
      </c>
      <c r="G50" s="1018" t="e">
        <f t="shared" si="22"/>
        <v>#REF!</v>
      </c>
      <c r="H50" s="990">
        <f t="shared" si="30"/>
        <v>14980</v>
      </c>
      <c r="I50" s="990">
        <f t="shared" si="24"/>
        <v>5550</v>
      </c>
      <c r="J50" s="990">
        <f>J49</f>
        <v>450</v>
      </c>
      <c r="K50" s="996" t="e">
        <f t="shared" si="25"/>
        <v>#REF!</v>
      </c>
      <c r="L50" s="1018" t="e">
        <f t="shared" si="23"/>
        <v>#REF!</v>
      </c>
      <c r="M50" s="990">
        <f t="shared" si="28"/>
        <v>14980</v>
      </c>
      <c r="N50" s="990">
        <f t="shared" si="29"/>
        <v>5550</v>
      </c>
      <c r="O50" s="990">
        <f t="shared" si="26"/>
        <v>450</v>
      </c>
      <c r="P50" s="996" t="e">
        <f t="shared" si="27"/>
        <v>#REF!</v>
      </c>
    </row>
    <row r="51" spans="1:19" ht="35.1" customHeight="1" outlineLevel="1">
      <c r="A51" s="3405"/>
      <c r="B51" s="3407"/>
      <c r="C51" s="988">
        <v>2400</v>
      </c>
      <c r="D51" s="991" t="e">
        <f t="shared" si="21"/>
        <v>#REF!</v>
      </c>
      <c r="E51" s="991"/>
      <c r="F51" s="993">
        <f t="shared" si="22"/>
        <v>3</v>
      </c>
      <c r="G51" s="1017" t="e">
        <f t="shared" si="22"/>
        <v>#REF!</v>
      </c>
      <c r="H51" s="989">
        <f t="shared" si="30"/>
        <v>17590</v>
      </c>
      <c r="I51" s="989">
        <f t="shared" si="24"/>
        <v>5550</v>
      </c>
      <c r="J51" s="989">
        <f>J49</f>
        <v>450</v>
      </c>
      <c r="K51" s="995" t="e">
        <f t="shared" si="25"/>
        <v>#REF!</v>
      </c>
      <c r="L51" s="1017" t="e">
        <f t="shared" si="23"/>
        <v>#REF!</v>
      </c>
      <c r="M51" s="989">
        <f t="shared" si="28"/>
        <v>17590</v>
      </c>
      <c r="N51" s="989">
        <f t="shared" si="29"/>
        <v>5550</v>
      </c>
      <c r="O51" s="989">
        <f t="shared" si="26"/>
        <v>450</v>
      </c>
      <c r="P51" s="995" t="e">
        <f t="shared" si="27"/>
        <v>#REF!</v>
      </c>
    </row>
    <row r="52" spans="1:19" ht="35.1" customHeight="1" outlineLevel="1" thickBot="1">
      <c r="A52" s="3405"/>
      <c r="B52" s="3407"/>
      <c r="C52" s="1009">
        <v>2500</v>
      </c>
      <c r="D52" s="992" t="e">
        <f t="shared" si="21"/>
        <v>#REF!</v>
      </c>
      <c r="E52" s="992"/>
      <c r="F52" s="1010">
        <f t="shared" si="22"/>
        <v>3</v>
      </c>
      <c r="G52" s="1019" t="e">
        <f t="shared" si="22"/>
        <v>#REF!</v>
      </c>
      <c r="H52" s="997">
        <f t="shared" si="30"/>
        <v>17590</v>
      </c>
      <c r="I52" s="997">
        <f t="shared" si="24"/>
        <v>5550</v>
      </c>
      <c r="J52" s="997">
        <f>J51</f>
        <v>450</v>
      </c>
      <c r="K52" s="998" t="e">
        <f t="shared" si="25"/>
        <v>#REF!</v>
      </c>
      <c r="L52" s="1019" t="e">
        <f t="shared" si="23"/>
        <v>#REF!</v>
      </c>
      <c r="M52" s="997">
        <f t="shared" si="28"/>
        <v>17590</v>
      </c>
      <c r="N52" s="997">
        <f t="shared" si="29"/>
        <v>5550</v>
      </c>
      <c r="O52" s="997">
        <f t="shared" si="26"/>
        <v>450</v>
      </c>
      <c r="P52" s="998" t="e">
        <f t="shared" si="27"/>
        <v>#REF!</v>
      </c>
    </row>
    <row r="53" spans="1:19" s="471" customFormat="1" ht="1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9" s="435" customFormat="1" ht="31.5" customHeight="1" thickBot="1">
      <c r="A54" s="3412" t="s">
        <v>1125</v>
      </c>
      <c r="B54" s="3412"/>
      <c r="C54" s="3412"/>
      <c r="D54" s="3412"/>
      <c r="E54" s="3412"/>
      <c r="F54" s="3412"/>
      <c r="G54" s="3412"/>
      <c r="H54" s="3412"/>
      <c r="I54" s="1008"/>
      <c r="J54" s="1008"/>
      <c r="K54" s="1008"/>
      <c r="L54" s="433"/>
      <c r="M54" s="433"/>
      <c r="N54" s="433"/>
      <c r="O54" s="433"/>
      <c r="P54" s="433"/>
    </row>
    <row r="55" spans="1:19" s="84" customFormat="1" ht="18" customHeight="1" outlineLevel="1">
      <c r="A55" s="3409" t="s">
        <v>1</v>
      </c>
      <c r="B55" s="3410" t="s">
        <v>1084</v>
      </c>
      <c r="C55" s="3410" t="s">
        <v>1093</v>
      </c>
      <c r="D55" s="3410" t="s">
        <v>1127</v>
      </c>
      <c r="E55" s="1015"/>
      <c r="F55" s="3411" t="s">
        <v>1085</v>
      </c>
      <c r="G55" s="3402" t="s">
        <v>1086</v>
      </c>
      <c r="H55" s="3403"/>
      <c r="I55" s="3403"/>
      <c r="J55" s="3403"/>
      <c r="K55" s="3404"/>
      <c r="L55" s="3402" t="s">
        <v>1087</v>
      </c>
      <c r="M55" s="3403"/>
      <c r="N55" s="3403"/>
      <c r="O55" s="3403"/>
      <c r="P55" s="3404"/>
    </row>
    <row r="56" spans="1:19" s="84" customFormat="1" ht="79.5" customHeight="1" outlineLevel="1">
      <c r="A56" s="3409"/>
      <c r="B56" s="3410"/>
      <c r="C56" s="3410"/>
      <c r="D56" s="3410"/>
      <c r="E56" s="1015"/>
      <c r="F56" s="3411"/>
      <c r="G56" s="1016" t="s">
        <v>1122</v>
      </c>
      <c r="H56" s="987" t="str">
        <f>Алюм.погонаж!E4</f>
        <v>ПРЯМ.СК (ПСК)/ОБР.СК (ОСК)</v>
      </c>
      <c r="I56" s="987" t="s">
        <v>1134</v>
      </c>
      <c r="J56" s="987" t="str">
        <f>J40</f>
        <v>Магнитный замок PUNTO с ответной планкой (черный)</v>
      </c>
      <c r="K56" s="994" t="s">
        <v>1088</v>
      </c>
      <c r="L56" s="1016" t="s">
        <v>1096</v>
      </c>
      <c r="M56" s="987" t="str">
        <f t="shared" ref="M56:N58" si="31">H56</f>
        <v>ПРЯМ.СК (ПСК)/ОБР.СК (ОСК)</v>
      </c>
      <c r="N56" s="987" t="str">
        <f t="shared" si="31"/>
        <v>Скрытые петли Armadilo (12060UN3D-BL)
 (черный)</v>
      </c>
      <c r="O56" s="987" t="s">
        <v>1135</v>
      </c>
      <c r="P56" s="994" t="s">
        <v>1089</v>
      </c>
    </row>
    <row r="57" spans="1:19" ht="35.1" customHeight="1" outlineLevel="1">
      <c r="A57" s="3405" t="s">
        <v>1090</v>
      </c>
      <c r="B57" s="3406" t="s">
        <v>1091</v>
      </c>
      <c r="C57" s="988">
        <v>2000</v>
      </c>
      <c r="D57" s="991">
        <f t="shared" ref="D57:D68" si="32">D25</f>
        <v>0</v>
      </c>
      <c r="E57" s="991"/>
      <c r="F57" s="993">
        <f t="shared" ref="F57:F68" si="33">F25</f>
        <v>2</v>
      </c>
      <c r="G57" s="1017">
        <f>CEILING((Techno_Porte!G7+Алюм.погонаж!H28)*(1-'Скрытая дверь ОПТ'!G2), 10)</f>
        <v>12200</v>
      </c>
      <c r="H57" s="989" t="e">
        <f>CEILING(Алюм.погонаж!#REF!*(1-$G$2), 10)</f>
        <v>#REF!</v>
      </c>
      <c r="I57" s="989">
        <f>1525*F57</f>
        <v>3050</v>
      </c>
      <c r="J57" s="989">
        <f>J41</f>
        <v>450</v>
      </c>
      <c r="K57" s="995" t="e">
        <f>G57+H57+I57+J57</f>
        <v>#REF!</v>
      </c>
      <c r="L57" s="1017">
        <f>CEILING((Techno_Porte!J7+Алюм.погонаж!H28)*(1-'Скрытая дверь ОПТ'!G2), 10)</f>
        <v>14520</v>
      </c>
      <c r="M57" s="989" t="e">
        <f t="shared" si="31"/>
        <v>#REF!</v>
      </c>
      <c r="N57" s="989">
        <f t="shared" si="31"/>
        <v>3050</v>
      </c>
      <c r="O57" s="989">
        <f>J57</f>
        <v>450</v>
      </c>
      <c r="P57" s="995" t="e">
        <f>L57+M57+N57+[3]Фурнитура!E80</f>
        <v>#REF!</v>
      </c>
      <c r="R57" s="73">
        <v>21230</v>
      </c>
      <c r="S57" s="73">
        <v>22450</v>
      </c>
    </row>
    <row r="58" spans="1:19" ht="35.1" customHeight="1" outlineLevel="1">
      <c r="A58" s="3405"/>
      <c r="B58" s="3406"/>
      <c r="C58" s="1009">
        <v>2100</v>
      </c>
      <c r="D58" s="992">
        <f t="shared" si="32"/>
        <v>0</v>
      </c>
      <c r="E58" s="992"/>
      <c r="F58" s="1010">
        <f t="shared" si="33"/>
        <v>2</v>
      </c>
      <c r="G58" s="1018">
        <f>CEILING($G$57*(1+D58), 10)</f>
        <v>12200</v>
      </c>
      <c r="H58" s="990" t="e">
        <f>CEILING(Алюм.погонаж!#REF!*(1-$G$2), 10)</f>
        <v>#REF!</v>
      </c>
      <c r="I58" s="990">
        <f t="shared" ref="I58:I68" si="34">1525*F58</f>
        <v>3050</v>
      </c>
      <c r="J58" s="990">
        <f>J42</f>
        <v>450</v>
      </c>
      <c r="K58" s="996" t="e">
        <f t="shared" ref="K58:K68" si="35">G58+H58+I58+J58</f>
        <v>#REF!</v>
      </c>
      <c r="L58" s="1018">
        <f>CEILING($L$57*(1+D58), 10)</f>
        <v>14520</v>
      </c>
      <c r="M58" s="990" t="e">
        <f t="shared" si="31"/>
        <v>#REF!</v>
      </c>
      <c r="N58" s="990">
        <f t="shared" si="31"/>
        <v>3050</v>
      </c>
      <c r="O58" s="990">
        <f>J58</f>
        <v>450</v>
      </c>
      <c r="P58" s="996" t="e">
        <f>L58+M58+N58+[3]Фурнитура!E81</f>
        <v>#REF!</v>
      </c>
    </row>
    <row r="59" spans="1:19" ht="35.1" customHeight="1" outlineLevel="1">
      <c r="A59" s="3405"/>
      <c r="B59" s="3406"/>
      <c r="C59" s="988">
        <v>2200</v>
      </c>
      <c r="D59" s="991" t="e">
        <f t="shared" si="32"/>
        <v>#REF!</v>
      </c>
      <c r="E59" s="991"/>
      <c r="F59" s="993">
        <f t="shared" si="33"/>
        <v>2</v>
      </c>
      <c r="G59" s="1017" t="e">
        <f t="shared" ref="G59:G68" si="36">CEILING($G$57*(1+D59), 10)</f>
        <v>#REF!</v>
      </c>
      <c r="H59" s="989" t="e">
        <f>CEILING(Алюм.погонаж!#REF!*(1-$G$2), 10)</f>
        <v>#REF!</v>
      </c>
      <c r="I59" s="989">
        <f t="shared" si="34"/>
        <v>3050</v>
      </c>
      <c r="J59" s="989">
        <f t="shared" ref="J59:J68" si="37">J43</f>
        <v>450</v>
      </c>
      <c r="K59" s="995" t="e">
        <f t="shared" si="35"/>
        <v>#REF!</v>
      </c>
      <c r="L59" s="1017" t="e">
        <f t="shared" ref="L59:L68" si="38">CEILING($L$57*(1+D59), 10)</f>
        <v>#REF!</v>
      </c>
      <c r="M59" s="989" t="e">
        <f t="shared" ref="M59:M68" si="39">H59</f>
        <v>#REF!</v>
      </c>
      <c r="N59" s="989">
        <f t="shared" ref="N59:N68" si="40">I59</f>
        <v>3050</v>
      </c>
      <c r="O59" s="989">
        <f t="shared" ref="O59:O68" si="41">J59</f>
        <v>450</v>
      </c>
      <c r="P59" s="995" t="e">
        <f>L59+M59+N59+[3]Фурнитура!E82</f>
        <v>#REF!</v>
      </c>
    </row>
    <row r="60" spans="1:19" ht="35.1" customHeight="1" outlineLevel="1">
      <c r="A60" s="3405"/>
      <c r="B60" s="3406"/>
      <c r="C60" s="1009">
        <v>2300</v>
      </c>
      <c r="D60" s="992" t="e">
        <f t="shared" si="32"/>
        <v>#REF!</v>
      </c>
      <c r="E60" s="992"/>
      <c r="F60" s="1010">
        <f t="shared" si="33"/>
        <v>3</v>
      </c>
      <c r="G60" s="1018" t="e">
        <f t="shared" si="36"/>
        <v>#REF!</v>
      </c>
      <c r="H60" s="990" t="e">
        <f>CEILING(Алюм.погонаж!#REF!*(1-$G$2), 10)</f>
        <v>#REF!</v>
      </c>
      <c r="I60" s="990">
        <f t="shared" si="34"/>
        <v>4575</v>
      </c>
      <c r="J60" s="990">
        <f t="shared" si="37"/>
        <v>450</v>
      </c>
      <c r="K60" s="996" t="e">
        <f t="shared" si="35"/>
        <v>#REF!</v>
      </c>
      <c r="L60" s="1018" t="e">
        <f t="shared" si="38"/>
        <v>#REF!</v>
      </c>
      <c r="M60" s="990" t="e">
        <f t="shared" si="39"/>
        <v>#REF!</v>
      </c>
      <c r="N60" s="990">
        <f t="shared" si="40"/>
        <v>4575</v>
      </c>
      <c r="O60" s="990">
        <f t="shared" si="41"/>
        <v>450</v>
      </c>
      <c r="P60" s="996" t="e">
        <f>L60+M60+N60+[3]Фурнитура!E83</f>
        <v>#REF!</v>
      </c>
    </row>
    <row r="61" spans="1:19" ht="35.1" customHeight="1" outlineLevel="1">
      <c r="A61" s="3405"/>
      <c r="B61" s="3406"/>
      <c r="C61" s="988">
        <v>2400</v>
      </c>
      <c r="D61" s="991" t="e">
        <f t="shared" si="32"/>
        <v>#REF!</v>
      </c>
      <c r="E61" s="991"/>
      <c r="F61" s="993">
        <f t="shared" si="33"/>
        <v>3</v>
      </c>
      <c r="G61" s="1017" t="e">
        <f t="shared" si="36"/>
        <v>#REF!</v>
      </c>
      <c r="H61" s="989" t="e">
        <f>CEILING(Алюм.погонаж!#REF!*(1-$G$2), 10)</f>
        <v>#REF!</v>
      </c>
      <c r="I61" s="989">
        <f t="shared" si="34"/>
        <v>4575</v>
      </c>
      <c r="J61" s="989">
        <f t="shared" si="37"/>
        <v>450</v>
      </c>
      <c r="K61" s="995" t="e">
        <f t="shared" si="35"/>
        <v>#REF!</v>
      </c>
      <c r="L61" s="1017" t="e">
        <f t="shared" si="38"/>
        <v>#REF!</v>
      </c>
      <c r="M61" s="989" t="e">
        <f t="shared" si="39"/>
        <v>#REF!</v>
      </c>
      <c r="N61" s="989">
        <f t="shared" si="40"/>
        <v>4575</v>
      </c>
      <c r="O61" s="989">
        <f t="shared" si="41"/>
        <v>450</v>
      </c>
      <c r="P61" s="995" t="e">
        <f>L61+M61+N61+[3]Фурнитура!E84</f>
        <v>#REF!</v>
      </c>
    </row>
    <row r="62" spans="1:19" ht="35.1" customHeight="1" outlineLevel="1">
      <c r="A62" s="3405"/>
      <c r="B62" s="3406"/>
      <c r="C62" s="1009">
        <v>2500</v>
      </c>
      <c r="D62" s="992" t="e">
        <f t="shared" si="32"/>
        <v>#REF!</v>
      </c>
      <c r="E62" s="992"/>
      <c r="F62" s="1010">
        <f t="shared" si="33"/>
        <v>3</v>
      </c>
      <c r="G62" s="1018" t="e">
        <f t="shared" si="36"/>
        <v>#REF!</v>
      </c>
      <c r="H62" s="990" t="e">
        <f>CEILING(Алюм.погонаж!#REF!*(1-$G$2), 10)</f>
        <v>#REF!</v>
      </c>
      <c r="I62" s="990">
        <f t="shared" si="34"/>
        <v>4575</v>
      </c>
      <c r="J62" s="990">
        <f t="shared" si="37"/>
        <v>450</v>
      </c>
      <c r="K62" s="996" t="e">
        <f t="shared" si="35"/>
        <v>#REF!</v>
      </c>
      <c r="L62" s="1018" t="e">
        <f t="shared" si="38"/>
        <v>#REF!</v>
      </c>
      <c r="M62" s="990" t="e">
        <f t="shared" si="39"/>
        <v>#REF!</v>
      </c>
      <c r="N62" s="990">
        <f t="shared" si="40"/>
        <v>4575</v>
      </c>
      <c r="O62" s="990">
        <f t="shared" si="41"/>
        <v>450</v>
      </c>
      <c r="P62" s="996" t="e">
        <f>L62+M62+N62+[3]Фурнитура!E85</f>
        <v>#REF!</v>
      </c>
    </row>
    <row r="63" spans="1:19" ht="35.1" customHeight="1" outlineLevel="1">
      <c r="A63" s="3405"/>
      <c r="B63" s="3407" t="s">
        <v>979</v>
      </c>
      <c r="C63" s="988">
        <v>2000</v>
      </c>
      <c r="D63" s="991" t="e">
        <f t="shared" si="32"/>
        <v>#REF!</v>
      </c>
      <c r="E63" s="991"/>
      <c r="F63" s="993">
        <f t="shared" si="33"/>
        <v>2</v>
      </c>
      <c r="G63" s="1017" t="e">
        <f t="shared" si="36"/>
        <v>#REF!</v>
      </c>
      <c r="H63" s="989" t="e">
        <f t="shared" ref="H63:H68" si="42">CEILING(H57+H57/2.5, 10)</f>
        <v>#REF!</v>
      </c>
      <c r="I63" s="989">
        <f t="shared" si="34"/>
        <v>3050</v>
      </c>
      <c r="J63" s="989">
        <f t="shared" si="37"/>
        <v>450</v>
      </c>
      <c r="K63" s="995" t="e">
        <f t="shared" si="35"/>
        <v>#REF!</v>
      </c>
      <c r="L63" s="1017" t="e">
        <f t="shared" si="38"/>
        <v>#REF!</v>
      </c>
      <c r="M63" s="989" t="e">
        <f t="shared" si="39"/>
        <v>#REF!</v>
      </c>
      <c r="N63" s="989">
        <f t="shared" si="40"/>
        <v>3050</v>
      </c>
      <c r="O63" s="989">
        <f t="shared" si="41"/>
        <v>450</v>
      </c>
      <c r="P63" s="995" t="e">
        <f>L63+M63+N63+[3]Фурнитура!E86</f>
        <v>#REF!</v>
      </c>
    </row>
    <row r="64" spans="1:19" ht="35.1" customHeight="1" outlineLevel="1">
      <c r="A64" s="3405"/>
      <c r="B64" s="3407"/>
      <c r="C64" s="1009">
        <v>2100</v>
      </c>
      <c r="D64" s="992" t="e">
        <f t="shared" si="32"/>
        <v>#REF!</v>
      </c>
      <c r="E64" s="992"/>
      <c r="F64" s="1010">
        <f t="shared" si="33"/>
        <v>2</v>
      </c>
      <c r="G64" s="1018" t="e">
        <f t="shared" si="36"/>
        <v>#REF!</v>
      </c>
      <c r="H64" s="990" t="e">
        <f t="shared" si="42"/>
        <v>#REF!</v>
      </c>
      <c r="I64" s="990">
        <f t="shared" si="34"/>
        <v>3050</v>
      </c>
      <c r="J64" s="990">
        <f t="shared" si="37"/>
        <v>450</v>
      </c>
      <c r="K64" s="996" t="e">
        <f t="shared" si="35"/>
        <v>#REF!</v>
      </c>
      <c r="L64" s="1018" t="e">
        <f t="shared" si="38"/>
        <v>#REF!</v>
      </c>
      <c r="M64" s="990" t="e">
        <f t="shared" si="39"/>
        <v>#REF!</v>
      </c>
      <c r="N64" s="990">
        <f t="shared" si="40"/>
        <v>3050</v>
      </c>
      <c r="O64" s="990">
        <f t="shared" si="41"/>
        <v>450</v>
      </c>
      <c r="P64" s="996" t="e">
        <f>L64+M64+N64+[3]Фурнитура!E85</f>
        <v>#REF!</v>
      </c>
    </row>
    <row r="65" spans="1:16" ht="35.1" customHeight="1" outlineLevel="1">
      <c r="A65" s="3405"/>
      <c r="B65" s="3407"/>
      <c r="C65" s="988">
        <v>2200</v>
      </c>
      <c r="D65" s="991" t="e">
        <f t="shared" si="32"/>
        <v>#REF!</v>
      </c>
      <c r="E65" s="991"/>
      <c r="F65" s="993">
        <f t="shared" si="33"/>
        <v>2</v>
      </c>
      <c r="G65" s="1017" t="e">
        <f t="shared" si="36"/>
        <v>#REF!</v>
      </c>
      <c r="H65" s="989" t="e">
        <f t="shared" si="42"/>
        <v>#REF!</v>
      </c>
      <c r="I65" s="989">
        <f t="shared" si="34"/>
        <v>3050</v>
      </c>
      <c r="J65" s="989">
        <f t="shared" si="37"/>
        <v>450</v>
      </c>
      <c r="K65" s="995" t="e">
        <f t="shared" si="35"/>
        <v>#REF!</v>
      </c>
      <c r="L65" s="1017" t="e">
        <f t="shared" si="38"/>
        <v>#REF!</v>
      </c>
      <c r="M65" s="989" t="e">
        <f t="shared" si="39"/>
        <v>#REF!</v>
      </c>
      <c r="N65" s="989">
        <f t="shared" si="40"/>
        <v>3050</v>
      </c>
      <c r="O65" s="989">
        <f t="shared" si="41"/>
        <v>450</v>
      </c>
      <c r="P65" s="995" t="e">
        <f>L65+M65+N65+[3]Фурнитура!E86</f>
        <v>#REF!</v>
      </c>
    </row>
    <row r="66" spans="1:16" ht="35.1" customHeight="1" outlineLevel="1">
      <c r="A66" s="3405"/>
      <c r="B66" s="3407"/>
      <c r="C66" s="1009">
        <v>2300</v>
      </c>
      <c r="D66" s="992" t="e">
        <f t="shared" si="32"/>
        <v>#REF!</v>
      </c>
      <c r="E66" s="992"/>
      <c r="F66" s="1010">
        <f t="shared" si="33"/>
        <v>3</v>
      </c>
      <c r="G66" s="1018" t="e">
        <f t="shared" si="36"/>
        <v>#REF!</v>
      </c>
      <c r="H66" s="990" t="e">
        <f t="shared" si="42"/>
        <v>#REF!</v>
      </c>
      <c r="I66" s="990">
        <f t="shared" si="34"/>
        <v>4575</v>
      </c>
      <c r="J66" s="990">
        <f t="shared" si="37"/>
        <v>450</v>
      </c>
      <c r="K66" s="996" t="e">
        <f t="shared" si="35"/>
        <v>#REF!</v>
      </c>
      <c r="L66" s="1018" t="e">
        <f t="shared" si="38"/>
        <v>#REF!</v>
      </c>
      <c r="M66" s="990" t="e">
        <f t="shared" si="39"/>
        <v>#REF!</v>
      </c>
      <c r="N66" s="990">
        <f t="shared" si="40"/>
        <v>4575</v>
      </c>
      <c r="O66" s="990">
        <f t="shared" si="41"/>
        <v>450</v>
      </c>
      <c r="P66" s="996" t="e">
        <f>L66+M66+N66+[3]Фурнитура!E87</f>
        <v>#REF!</v>
      </c>
    </row>
    <row r="67" spans="1:16" ht="35.1" customHeight="1" outlineLevel="1">
      <c r="A67" s="3405"/>
      <c r="B67" s="3407"/>
      <c r="C67" s="988">
        <v>2400</v>
      </c>
      <c r="D67" s="991" t="e">
        <f t="shared" si="32"/>
        <v>#REF!</v>
      </c>
      <c r="E67" s="991"/>
      <c r="F67" s="993">
        <f t="shared" si="33"/>
        <v>3</v>
      </c>
      <c r="G67" s="1017" t="e">
        <f t="shared" si="36"/>
        <v>#REF!</v>
      </c>
      <c r="H67" s="989" t="e">
        <f t="shared" si="42"/>
        <v>#REF!</v>
      </c>
      <c r="I67" s="989">
        <f t="shared" si="34"/>
        <v>4575</v>
      </c>
      <c r="J67" s="989">
        <f t="shared" si="37"/>
        <v>450</v>
      </c>
      <c r="K67" s="995" t="e">
        <f t="shared" si="35"/>
        <v>#REF!</v>
      </c>
      <c r="L67" s="1017" t="e">
        <f t="shared" si="38"/>
        <v>#REF!</v>
      </c>
      <c r="M67" s="989" t="e">
        <f t="shared" si="39"/>
        <v>#REF!</v>
      </c>
      <c r="N67" s="989">
        <f t="shared" si="40"/>
        <v>4575</v>
      </c>
      <c r="O67" s="989">
        <f t="shared" si="41"/>
        <v>450</v>
      </c>
      <c r="P67" s="995" t="e">
        <f>L67+M67+N67+[3]Фурнитура!E88</f>
        <v>#REF!</v>
      </c>
    </row>
    <row r="68" spans="1:16" ht="35.1" customHeight="1" outlineLevel="1" thickBot="1">
      <c r="A68" s="3405"/>
      <c r="B68" s="3407"/>
      <c r="C68" s="1009">
        <v>2500</v>
      </c>
      <c r="D68" s="992" t="e">
        <f t="shared" si="32"/>
        <v>#REF!</v>
      </c>
      <c r="E68" s="992"/>
      <c r="F68" s="1010">
        <f t="shared" si="33"/>
        <v>3</v>
      </c>
      <c r="G68" s="1019" t="e">
        <f t="shared" si="36"/>
        <v>#REF!</v>
      </c>
      <c r="H68" s="997" t="e">
        <f t="shared" si="42"/>
        <v>#REF!</v>
      </c>
      <c r="I68" s="997">
        <f t="shared" si="34"/>
        <v>4575</v>
      </c>
      <c r="J68" s="997">
        <f t="shared" si="37"/>
        <v>450</v>
      </c>
      <c r="K68" s="998" t="e">
        <f t="shared" si="35"/>
        <v>#REF!</v>
      </c>
      <c r="L68" s="1019" t="e">
        <f t="shared" si="38"/>
        <v>#REF!</v>
      </c>
      <c r="M68" s="997" t="e">
        <f t="shared" si="39"/>
        <v>#REF!</v>
      </c>
      <c r="N68" s="997">
        <f t="shared" si="40"/>
        <v>4575</v>
      </c>
      <c r="O68" s="997">
        <f t="shared" si="41"/>
        <v>450</v>
      </c>
      <c r="P68" s="998" t="e">
        <f>L68+M68+N68+[3]Фурнитура!E96</f>
        <v>#REF!</v>
      </c>
    </row>
  </sheetData>
  <mergeCells count="44">
    <mergeCell ref="L23:P23"/>
    <mergeCell ref="A25:A36"/>
    <mergeCell ref="D23:D24"/>
    <mergeCell ref="D55:D56"/>
    <mergeCell ref="B41:B46"/>
    <mergeCell ref="B47:B52"/>
    <mergeCell ref="A54:H54"/>
    <mergeCell ref="A55:A56"/>
    <mergeCell ref="B55:B56"/>
    <mergeCell ref="C55:C56"/>
    <mergeCell ref="F55:F56"/>
    <mergeCell ref="G55:K55"/>
    <mergeCell ref="G39:K39"/>
    <mergeCell ref="L55:P55"/>
    <mergeCell ref="B25:B30"/>
    <mergeCell ref="B31:B36"/>
    <mergeCell ref="A57:A68"/>
    <mergeCell ref="B57:B62"/>
    <mergeCell ref="B63:B68"/>
    <mergeCell ref="L39:P39"/>
    <mergeCell ref="A41:A52"/>
    <mergeCell ref="A22:H22"/>
    <mergeCell ref="A23:A24"/>
    <mergeCell ref="B23:B24"/>
    <mergeCell ref="C23:C24"/>
    <mergeCell ref="F23:F24"/>
    <mergeCell ref="G23:K23"/>
    <mergeCell ref="A38:H38"/>
    <mergeCell ref="A39:A40"/>
    <mergeCell ref="B39:B40"/>
    <mergeCell ref="C39:C40"/>
    <mergeCell ref="D39:D40"/>
    <mergeCell ref="F39:F40"/>
    <mergeCell ref="L7:P7"/>
    <mergeCell ref="A9:A20"/>
    <mergeCell ref="B9:B14"/>
    <mergeCell ref="B15:B20"/>
    <mergeCell ref="A6:H6"/>
    <mergeCell ref="A7:A8"/>
    <mergeCell ref="B7:B8"/>
    <mergeCell ref="C7:C8"/>
    <mergeCell ref="F7:F8"/>
    <mergeCell ref="G7:K7"/>
    <mergeCell ref="D7:D8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27">
    <tabColor rgb="FF92D050"/>
  </sheetPr>
  <dimension ref="A1:BD212"/>
  <sheetViews>
    <sheetView view="pageBreakPreview" zoomScale="70" zoomScaleNormal="100" zoomScaleSheetLayoutView="70" workbookViewId="0">
      <pane ySplit="1" topLeftCell="A2" activePane="bottomLeft" state="frozen"/>
      <selection pane="bottomLeft" activeCell="Q26" sqref="Q26"/>
    </sheetView>
  </sheetViews>
  <sheetFormatPr defaultColWidth="9.140625" defaultRowHeight="12.75"/>
  <cols>
    <col min="1" max="1" width="9" style="73" customWidth="1"/>
    <col min="2" max="2" width="15" style="73" customWidth="1"/>
    <col min="3" max="3" width="13.28515625" style="73" customWidth="1"/>
    <col min="4" max="6" width="13.7109375" style="73" customWidth="1"/>
    <col min="7" max="7" width="12.7109375" style="73" customWidth="1"/>
    <col min="8" max="10" width="14.28515625" style="73" customWidth="1"/>
    <col min="11" max="13" width="14" style="73" customWidth="1"/>
    <col min="14" max="22" width="12.7109375" style="73" customWidth="1"/>
    <col min="23" max="23" width="16.5703125" style="73" customWidth="1"/>
    <col min="24" max="25" width="12.7109375" style="73" customWidth="1"/>
    <col min="26" max="16384" width="9.140625" style="73"/>
  </cols>
  <sheetData>
    <row r="1" spans="1:29" s="1039" customFormat="1" ht="18.75" customHeight="1">
      <c r="A1" s="1037"/>
      <c r="B1" s="1055" t="s">
        <v>307</v>
      </c>
      <c r="C1" s="1029"/>
      <c r="D1" s="1038"/>
      <c r="E1" s="1038"/>
      <c r="F1" s="1038"/>
      <c r="G1" s="1038"/>
      <c r="H1" s="1038"/>
      <c r="I1" s="1038"/>
      <c r="J1" s="1038"/>
      <c r="K1" s="1038"/>
      <c r="L1" s="1038"/>
      <c r="M1" s="1038"/>
      <c r="N1" s="1038"/>
      <c r="O1" s="1038"/>
      <c r="P1" s="1038"/>
      <c r="Q1" s="1038"/>
      <c r="R1" s="1038"/>
      <c r="S1" s="1038"/>
      <c r="T1" s="1038"/>
      <c r="U1" s="1038"/>
      <c r="V1" s="1038"/>
      <c r="W1" s="1038"/>
      <c r="X1" s="1038"/>
      <c r="Y1" s="1038"/>
      <c r="Z1" s="1038"/>
    </row>
    <row r="3" spans="1:29" s="71" customFormat="1" ht="56.25" customHeight="1">
      <c r="A3" s="3438" t="s">
        <v>62</v>
      </c>
      <c r="B3" s="3438"/>
      <c r="C3" s="3438"/>
      <c r="D3" s="3438"/>
      <c r="E3" s="3439" t="s">
        <v>1584</v>
      </c>
      <c r="F3" s="3438"/>
      <c r="G3" s="3438"/>
      <c r="H3" s="3438"/>
      <c r="I3" s="3438"/>
      <c r="J3" s="3438"/>
      <c r="R3" s="72"/>
      <c r="T3" s="1187"/>
      <c r="U3" s="1187"/>
      <c r="V3" s="1187"/>
      <c r="W3" s="1187"/>
      <c r="X3" s="72"/>
    </row>
    <row r="4" spans="1:29" s="133" customFormat="1" ht="15" customHeight="1">
      <c r="A4" s="3440" t="s">
        <v>66</v>
      </c>
      <c r="B4" s="3441"/>
      <c r="C4" s="1007" t="s">
        <v>5</v>
      </c>
      <c r="D4" s="3452" t="s">
        <v>63</v>
      </c>
      <c r="E4" s="3453"/>
      <c r="F4" s="3453"/>
      <c r="G4" s="3453"/>
      <c r="H4" s="3453"/>
      <c r="I4" s="3453"/>
      <c r="J4" s="3453"/>
      <c r="K4" s="3453"/>
      <c r="L4" s="3453"/>
      <c r="M4" s="3453"/>
      <c r="N4" s="3453"/>
      <c r="O4" s="3453"/>
      <c r="P4" s="3453"/>
      <c r="Q4" s="3454"/>
      <c r="R4" s="3514" t="s">
        <v>64</v>
      </c>
      <c r="S4" s="3515"/>
      <c r="T4" s="3515"/>
      <c r="U4" s="3515"/>
      <c r="V4" s="3515"/>
      <c r="W4" s="3516"/>
      <c r="X4" s="426" t="s">
        <v>65</v>
      </c>
      <c r="Y4" s="426" t="s">
        <v>6</v>
      </c>
    </row>
    <row r="5" spans="1:29" s="133" customFormat="1" ht="15" customHeight="1">
      <c r="A5" s="3442"/>
      <c r="B5" s="3443"/>
      <c r="C5" s="3413" t="s">
        <v>197</v>
      </c>
      <c r="D5" s="3423" t="s">
        <v>67</v>
      </c>
      <c r="E5" s="3450"/>
      <c r="F5" s="3450"/>
      <c r="G5" s="3450"/>
      <c r="H5" s="3450"/>
      <c r="I5" s="3450"/>
      <c r="J5" s="3450"/>
      <c r="K5" s="3450"/>
      <c r="L5" s="3450"/>
      <c r="M5" s="3450"/>
      <c r="N5" s="3450"/>
      <c r="O5" s="3450"/>
      <c r="P5" s="3450"/>
      <c r="Q5" s="3451"/>
      <c r="R5" s="3423" t="s">
        <v>83</v>
      </c>
      <c r="S5" s="3424"/>
      <c r="T5" s="3425"/>
      <c r="U5" s="3517" t="s">
        <v>1592</v>
      </c>
      <c r="V5" s="3424"/>
      <c r="W5" s="3425"/>
      <c r="X5" s="3413" t="s">
        <v>1168</v>
      </c>
      <c r="Y5" s="3413" t="s">
        <v>84</v>
      </c>
    </row>
    <row r="6" spans="1:29" s="134" customFormat="1" ht="15" customHeight="1">
      <c r="A6" s="3442"/>
      <c r="B6" s="3443"/>
      <c r="C6" s="3414"/>
      <c r="D6" s="3447" t="s">
        <v>68</v>
      </c>
      <c r="E6" s="3448"/>
      <c r="F6" s="3448"/>
      <c r="G6" s="3448"/>
      <c r="H6" s="3448"/>
      <c r="I6" s="3448"/>
      <c r="J6" s="3447" t="s">
        <v>69</v>
      </c>
      <c r="K6" s="3448"/>
      <c r="L6" s="3448"/>
      <c r="M6" s="3448"/>
      <c r="N6" s="3448"/>
      <c r="O6" s="3448"/>
      <c r="P6" s="3448"/>
      <c r="Q6" s="3449"/>
      <c r="R6" s="3426"/>
      <c r="S6" s="3426"/>
      <c r="T6" s="3427"/>
      <c r="U6" s="3518"/>
      <c r="V6" s="3426"/>
      <c r="W6" s="3427"/>
      <c r="X6" s="3415"/>
      <c r="Y6" s="3414"/>
    </row>
    <row r="7" spans="1:29" s="134" customFormat="1" ht="24" customHeight="1">
      <c r="A7" s="3442"/>
      <c r="B7" s="3443"/>
      <c r="C7" s="1369" t="s">
        <v>1104</v>
      </c>
      <c r="D7" s="782" t="s">
        <v>752</v>
      </c>
      <c r="E7" s="3447" t="s">
        <v>16</v>
      </c>
      <c r="F7" s="3448"/>
      <c r="G7" s="3448"/>
      <c r="H7" s="3448"/>
      <c r="I7" s="3449"/>
      <c r="J7" s="1240" t="s">
        <v>70</v>
      </c>
      <c r="K7" s="1240" t="s">
        <v>71</v>
      </c>
      <c r="L7" s="1240" t="s">
        <v>226</v>
      </c>
      <c r="M7" s="1240" t="s">
        <v>536</v>
      </c>
      <c r="N7" s="1240" t="s">
        <v>199</v>
      </c>
      <c r="O7" s="1185" t="s">
        <v>1313</v>
      </c>
      <c r="P7" s="1185" t="s">
        <v>1320</v>
      </c>
      <c r="Q7" s="1185" t="s">
        <v>1317</v>
      </c>
      <c r="R7" s="3428"/>
      <c r="S7" s="3429"/>
      <c r="T7" s="3430"/>
      <c r="U7" s="3428"/>
      <c r="V7" s="3429"/>
      <c r="W7" s="3430"/>
      <c r="X7" s="427" t="s">
        <v>1115</v>
      </c>
      <c r="Y7" s="3415"/>
    </row>
    <row r="8" spans="1:29" s="136" customFormat="1" ht="15" customHeight="1">
      <c r="A8" s="3442"/>
      <c r="B8" s="3443"/>
      <c r="C8" s="135" t="s">
        <v>72</v>
      </c>
      <c r="D8" s="427" t="s">
        <v>850</v>
      </c>
      <c r="E8" s="427" t="s">
        <v>74</v>
      </c>
      <c r="F8" s="427" t="s">
        <v>75</v>
      </c>
      <c r="G8" s="427" t="s">
        <v>73</v>
      </c>
      <c r="H8" s="427" t="s">
        <v>76</v>
      </c>
      <c r="I8" s="427" t="s">
        <v>492</v>
      </c>
      <c r="J8" s="427" t="s">
        <v>203</v>
      </c>
      <c r="K8" s="427" t="s">
        <v>928</v>
      </c>
      <c r="L8" s="427" t="s">
        <v>492</v>
      </c>
      <c r="M8" s="427" t="s">
        <v>78</v>
      </c>
      <c r="N8" s="427" t="s">
        <v>78</v>
      </c>
      <c r="O8" s="1059" t="s">
        <v>1314</v>
      </c>
      <c r="P8" s="1059" t="s">
        <v>1316</v>
      </c>
      <c r="Q8" s="1059" t="s">
        <v>1318</v>
      </c>
      <c r="R8" s="1414" t="s">
        <v>1106</v>
      </c>
      <c r="S8" s="1414" t="s">
        <v>1107</v>
      </c>
      <c r="T8" s="1414" t="s">
        <v>156</v>
      </c>
      <c r="U8" s="1414" t="s">
        <v>1106</v>
      </c>
      <c r="V8" s="1414" t="s">
        <v>1107</v>
      </c>
      <c r="W8" s="1414" t="s">
        <v>156</v>
      </c>
      <c r="X8" s="427" t="s">
        <v>1105</v>
      </c>
      <c r="Y8" s="427" t="s">
        <v>123</v>
      </c>
    </row>
    <row r="9" spans="1:29" s="136" customFormat="1" ht="33" customHeight="1">
      <c r="A9" s="3442"/>
      <c r="B9" s="3443"/>
      <c r="C9" s="3434" t="s">
        <v>1105</v>
      </c>
      <c r="D9" s="3434" t="s">
        <v>79</v>
      </c>
      <c r="E9" s="3455" t="s">
        <v>79</v>
      </c>
      <c r="F9" s="3456"/>
      <c r="G9" s="3455" t="s">
        <v>1593</v>
      </c>
      <c r="H9" s="3459"/>
      <c r="I9" s="3456"/>
      <c r="J9" s="3436" t="s">
        <v>80</v>
      </c>
      <c r="K9" s="3434" t="s">
        <v>80</v>
      </c>
      <c r="L9" s="3434" t="s">
        <v>80</v>
      </c>
      <c r="M9" s="3434" t="s">
        <v>80</v>
      </c>
      <c r="N9" s="3434" t="s">
        <v>80</v>
      </c>
      <c r="O9" s="3434" t="s">
        <v>80</v>
      </c>
      <c r="P9" s="3434" t="s">
        <v>80</v>
      </c>
      <c r="Q9" s="3434" t="s">
        <v>1594</v>
      </c>
      <c r="R9" s="3431" t="s">
        <v>1111</v>
      </c>
      <c r="S9" s="3431"/>
      <c r="T9" s="1241" t="s">
        <v>1112</v>
      </c>
      <c r="U9" s="3431" t="s">
        <v>1111</v>
      </c>
      <c r="V9" s="3431"/>
      <c r="W9" s="1241" t="s">
        <v>1112</v>
      </c>
      <c r="X9" s="3419"/>
      <c r="Y9" s="3421"/>
    </row>
    <row r="10" spans="1:29" s="134" customFormat="1" ht="50.1" customHeight="1">
      <c r="A10" s="3444"/>
      <c r="B10" s="3445"/>
      <c r="C10" s="3446"/>
      <c r="D10" s="3435"/>
      <c r="E10" s="3457"/>
      <c r="F10" s="3458"/>
      <c r="G10" s="3457"/>
      <c r="H10" s="3460"/>
      <c r="I10" s="3458"/>
      <c r="J10" s="3437"/>
      <c r="K10" s="3435"/>
      <c r="L10" s="3435"/>
      <c r="M10" s="3435"/>
      <c r="N10" s="3435"/>
      <c r="O10" s="3435"/>
      <c r="P10" s="3435"/>
      <c r="Q10" s="3435"/>
      <c r="R10" s="3432" t="s">
        <v>1105</v>
      </c>
      <c r="S10" s="3433"/>
      <c r="T10" s="1149" t="s">
        <v>1105</v>
      </c>
      <c r="U10" s="3519" t="s">
        <v>1105</v>
      </c>
      <c r="V10" s="3520"/>
      <c r="W10" s="1649" t="s">
        <v>1105</v>
      </c>
      <c r="X10" s="3420"/>
      <c r="Y10" s="3422"/>
    </row>
    <row r="11" spans="1:29" s="137" customFormat="1" ht="49.5" customHeight="1">
      <c r="A11" s="1143" t="s">
        <v>28</v>
      </c>
      <c r="B11" s="1141" t="s">
        <v>207</v>
      </c>
      <c r="C11" s="783">
        <f>'Погонаж база'!D15*(1+скидки_наценки!$B$30)*скидки_наценки!$D$19*скидки_наценки!$F$19/скидки_наценки!$B$4</f>
        <v>2580</v>
      </c>
      <c r="D11" s="552">
        <f t="shared" ref="D11:D15" si="0">E11</f>
        <v>1420</v>
      </c>
      <c r="E11" s="783">
        <f>'Погонаж база'!M15*(1+скидки_наценки!$B$30)*скидки_наценки!$D$19*скидки_наценки!$F$19/скидки_наценки!$B$4</f>
        <v>1420</v>
      </c>
      <c r="F11" s="783">
        <f>'Погонаж база'!N15*(1+скидки_наценки!$B$30)*скидки_наценки!$D$19*скидки_наценки!$F$19/скидки_наценки!$B$4</f>
        <v>1640</v>
      </c>
      <c r="G11" s="783">
        <f>'Погонаж база'!O15*(1+скидки_наценки!$B$30)*скидки_наценки!$D$19*скидки_наценки!$F$19/скидки_наценки!$B$4</f>
        <v>1640</v>
      </c>
      <c r="H11" s="783">
        <f>'Погонаж база'!P15*(1+скидки_наценки!$B$30)*скидки_наценки!$D$19*скидки_наценки!$F$19/скидки_наценки!$B$4</f>
        <v>1810</v>
      </c>
      <c r="I11" s="1080">
        <f>'Погонаж база'!Q15*(1+скидки_наценки!$B$30)*скидки_наценки!$D$19*скидки_наценки!$F$19/скидки_наценки!$B$4</f>
        <v>2270</v>
      </c>
      <c r="J11" s="1236" t="s">
        <v>3</v>
      </c>
      <c r="K11" s="783">
        <f>'Погонаж база'!U15*(1+скидки_наценки!$B$30)*скидки_наценки!$D$19*скидки_наценки!$F$19/скидки_наценки!$B$4</f>
        <v>2530</v>
      </c>
      <c r="L11" s="783">
        <f>'Погонаж база'!V15*(1+скидки_наценки!$B$30)*скидки_наценки!$D$19*скидки_наценки!$F$19/скидки_наценки!$B$4</f>
        <v>3000</v>
      </c>
      <c r="M11" s="783">
        <f>'Погонаж база'!W15*(1+скидки_наценки!$B$30)*скидки_наценки!$D$19*скидки_наценки!$F$19/скидки_наценки!$B$4</f>
        <v>3210</v>
      </c>
      <c r="N11" s="783">
        <f>'Погонаж база'!Y15*(1+скидки_наценки!$B$30)*скидки_наценки!$D$19*скидки_наценки!$F$19/скидки_наценки!$B$4</f>
        <v>4500</v>
      </c>
      <c r="O11" s="1080">
        <f>'Погонаж база'!R15*(1+скидки_наценки!$B$30)*скидки_наценки!$D$19*скидки_наценки!$F$19/скидки_наценки!$B$4</f>
        <v>2000</v>
      </c>
      <c r="P11" s="1080">
        <f>'Погонаж база'!S15*(1+скидки_наценки!$B$30)*скидки_наценки!$D$19*скидки_наценки!$F$19/скидки_наценки!$B$4</f>
        <v>2300</v>
      </c>
      <c r="Q11" s="1080">
        <f>'Погонаж база'!X15*(1+скидки_наценки!$B$30)*скидки_наценки!$D$19*скидки_наценки!$F$19/скидки_наценки!$B$4</f>
        <v>3750</v>
      </c>
      <c r="R11" s="819">
        <f>'Погонаж база'!AH15*(1+скидки_наценки!$B$30)*скидки_наценки!$D$19*скидки_наценки!$F$19/скидки_наценки!$B$4</f>
        <v>1420</v>
      </c>
      <c r="S11" s="783">
        <f>'Погонаж база'!AI15*(1+скидки_наценки!$B$30)*скидки_наценки!$D$19*скидки_наценки!$F$19/скидки_наценки!$B$4</f>
        <v>2210</v>
      </c>
      <c r="T11" s="783">
        <f>'Погонаж база'!AK15*(1+скидки_наценки!$B$30)*скидки_наценки!$D$19*скидки_наценки!$F$19/скидки_наценки!$B$4</f>
        <v>260</v>
      </c>
      <c r="U11" s="1328">
        <f t="shared" ref="U11:U15" si="1">R11</f>
        <v>1420</v>
      </c>
      <c r="V11" s="1328">
        <f t="shared" ref="V11:V15" si="2">S11</f>
        <v>2210</v>
      </c>
      <c r="W11" s="1328">
        <f t="shared" ref="W11:W15" si="3">T11</f>
        <v>260</v>
      </c>
      <c r="X11" s="783">
        <f>'Погонаж база'!AS15*(1+скидки_наценки!$B$32)*скидки_наценки!$D$19*скидки_наценки!$F$19/скидки_наценки!$B$4</f>
        <v>170</v>
      </c>
      <c r="Y11" s="783">
        <f>'Погонаж база'!AT15*(1+скидки_наценки!$B$30)*скидки_наценки!$D$19*скидки_наценки!$F$19/скидки_наценки!$B$4</f>
        <v>860</v>
      </c>
      <c r="Z11" s="768"/>
      <c r="AA11" s="768"/>
      <c r="AB11" s="768"/>
      <c r="AC11" s="768"/>
    </row>
    <row r="12" spans="1:29" s="137" customFormat="1" ht="49.5" customHeight="1">
      <c r="A12" s="3416" t="s">
        <v>25</v>
      </c>
      <c r="B12" s="1142" t="s">
        <v>1292</v>
      </c>
      <c r="C12" s="364">
        <f>'Погонаж база'!D16*(1+скидки_наценки!$B$28)*скидки_наценки!$D$19*скидки_наценки!$F$19/скидки_наценки!$B$4</f>
        <v>2750</v>
      </c>
      <c r="D12" s="364">
        <f t="shared" si="0"/>
        <v>1500</v>
      </c>
      <c r="E12" s="364">
        <f>'Погонаж база'!M16*(1+скидки_наценки!$B$29)*скидки_наценки!$D$19*скидки_наценки!$F$19/скидки_наценки!$B$4</f>
        <v>1500</v>
      </c>
      <c r="F12" s="364">
        <f>'Погонаж база'!N16*(1+скидки_наценки!$B$29)*скидки_наценки!$D$19*скидки_наценки!$F$19/скидки_наценки!$B$4</f>
        <v>1750</v>
      </c>
      <c r="G12" s="364">
        <f>'Погонаж база'!O16*(1+скидки_наценки!$B$29)*скидки_наценки!$D$19*скидки_наценки!$F$19/скидки_наценки!$B$4</f>
        <v>1750</v>
      </c>
      <c r="H12" s="364">
        <f>'Погонаж база'!P16*(1+скидки_наценки!$B$29)*скидки_наценки!$D$19*скидки_наценки!$F$19/скидки_наценки!$B$4</f>
        <v>1950</v>
      </c>
      <c r="I12" s="364">
        <f>'Погонаж база'!Q16*(1+скидки_наценки!$B$30)*скидки_наценки!$D$19*скидки_наценки!$F$19/скидки_наценки!$B$4</f>
        <v>2400</v>
      </c>
      <c r="J12" s="364">
        <f>'Погонаж база'!T16*(1+скидки_наценки!$B$29)*скидки_наценки!$D$19*скидки_наценки!$F$19/скидки_наценки!$B$4</f>
        <v>2650</v>
      </c>
      <c r="K12" s="364">
        <f>'Погонаж база'!U16*(1+скидки_наценки!$B$29)*скидки_наценки!$D$19*скидки_наценки!$F$19/скидки_наценки!$B$4</f>
        <v>0</v>
      </c>
      <c r="L12" s="364">
        <f>'Погонаж база'!V16*(1+скидки_наценки!$B$29)*скидки_наценки!$D$19*скидки_наценки!$F$19/скидки_наценки!$B$4</f>
        <v>0</v>
      </c>
      <c r="M12" s="364">
        <f>CEILING('Погонаж база'!W16*(1+скидки_наценки!$B$29)*скидки_наценки!$D$19*скидки_наценки!$F$19/скидки_наценки!$B$4, 50)</f>
        <v>0</v>
      </c>
      <c r="N12" s="364">
        <f>CEILING('Погонаж база'!Y16*(1+скидки_наценки!$B$29)*скидки_наценки!$D$19*скидки_наценки!$F$19/скидки_наценки!$B$4, 50)</f>
        <v>0</v>
      </c>
      <c r="O12" s="1238" t="s">
        <v>1311</v>
      </c>
      <c r="P12" s="1238" t="s">
        <v>1311</v>
      </c>
      <c r="Q12" s="1238" t="s">
        <v>1311</v>
      </c>
      <c r="R12" s="364">
        <f>'Погонаж база'!AH16*(1+скидки_наценки!$B$29)*скидки_наценки!$D$19*скидки_наценки!$F$19/скидки_наценки!$B$4</f>
        <v>1500</v>
      </c>
      <c r="S12" s="364">
        <f>'Погонаж база'!AI16*(1+скидки_наценки!$B$29)*скидки_наценки!$D$19*скидки_наценки!$F$19/скидки_наценки!$B$4</f>
        <v>2350</v>
      </c>
      <c r="T12" s="364">
        <f>'Погонаж база'!AK16*(1+скидки_наценки!$B$30)*скидки_наценки!$D$19*скидки_наценки!$F$19/скидки_наценки!$B$4</f>
        <v>280</v>
      </c>
      <c r="U12" s="1330">
        <f t="shared" si="1"/>
        <v>1500</v>
      </c>
      <c r="V12" s="1330">
        <f t="shared" si="2"/>
        <v>2350</v>
      </c>
      <c r="W12" s="1330">
        <f t="shared" si="3"/>
        <v>280</v>
      </c>
      <c r="X12" s="364">
        <f>'Погонаж база'!AS16*(1+скидки_наценки!$B$32)*скидки_наценки!$D$19*скидки_наценки!$F$19/скидки_наценки!$B$4</f>
        <v>170</v>
      </c>
      <c r="Y12" s="364">
        <f>'Погонаж база'!AT16*(1+скидки_наценки!$B$29)*скидки_наценки!$D$19*скидки_наценки!$F$19/скидки_наценки!$B$4</f>
        <v>950</v>
      </c>
      <c r="Z12" s="768"/>
      <c r="AA12" s="768"/>
      <c r="AB12" s="768"/>
      <c r="AC12" s="768"/>
    </row>
    <row r="13" spans="1:29" s="137" customFormat="1" ht="49.5" customHeight="1">
      <c r="A13" s="3417"/>
      <c r="B13" s="1141" t="s">
        <v>1287</v>
      </c>
      <c r="C13" s="1080">
        <f>'Погонаж база'!D17*(1+скидки_наценки!$B$29)*скидки_наценки!$D$19*скидки_наценки!$F$19/скидки_наценки!$B$4</f>
        <v>2950</v>
      </c>
      <c r="D13" s="1080">
        <f t="shared" si="0"/>
        <v>1650</v>
      </c>
      <c r="E13" s="1080">
        <f>'Погонаж база'!M17*(1+скидки_наценки!$B$29)*скидки_наценки!$D$19*скидки_наценки!$F$19/скидки_наценки!$B$4</f>
        <v>1650</v>
      </c>
      <c r="F13" s="1080">
        <f>'Погонаж база'!N17*(1+скидки_наценки!$B$29)*скидки_наценки!$D$19*скидки_наценки!$F$19/скидки_наценки!$B$4</f>
        <v>1900</v>
      </c>
      <c r="G13" s="1080">
        <f>'Погонаж база'!O17*(1+скидки_наценки!$B$29)*скидки_наценки!$D$19*скидки_наценки!$F$19/скидки_наценки!$B$4</f>
        <v>1900</v>
      </c>
      <c r="H13" s="1080">
        <f>'Погонаж база'!P17*(1+скидки_наценки!$B$29)*скидки_наценки!$D$19*скидки_наценки!$F$19/скидки_наценки!$B$4</f>
        <v>2050</v>
      </c>
      <c r="I13" s="1080">
        <f>'Погонаж база'!Q17*(1+скидки_наценки!$B$30)*скидки_наценки!$D$19*скидки_наценки!$F$19/скидки_наценки!$B$4</f>
        <v>2600</v>
      </c>
      <c r="J13" s="1080">
        <f>'Погонаж база'!T17*(1+скидки_наценки!$B$29)*скидки_наценки!$D$19*скидки_наценки!$F$19/скидки_наценки!$B$4</f>
        <v>2850</v>
      </c>
      <c r="K13" s="1080">
        <f>'Погонаж база'!U17*(1+скидки_наценки!$B$29)*скидки_наценки!$D$19*скидки_наценки!$F$19/скидки_наценки!$B$4</f>
        <v>0</v>
      </c>
      <c r="L13" s="1080">
        <f>CEILING('Погонаж база'!V17*(1+скидки_наценки!$B$29)*скидки_наценки!$D$19*скидки_наценки!$F$19/скидки_наценки!$B$4, 50)</f>
        <v>0</v>
      </c>
      <c r="M13" s="1080">
        <f>CEILING('Погонаж база'!W17*(1+скидки_наценки!$B$29)*скидки_наценки!$D$19*скидки_наценки!$F$19/скидки_наценки!$B$4, 50)</f>
        <v>0</v>
      </c>
      <c r="N13" s="1080">
        <f>CEILING('Погонаж база'!Y17*(1+скидки_наценки!$B$29)*скидки_наценки!$D$19*скидки_наценки!$F$19/скидки_наценки!$B$4, 50)</f>
        <v>0</v>
      </c>
      <c r="O13" s="1237" t="s">
        <v>1311</v>
      </c>
      <c r="P13" s="1237" t="s">
        <v>1311</v>
      </c>
      <c r="Q13" s="1237" t="s">
        <v>1311</v>
      </c>
      <c r="R13" s="1080">
        <f>'Погонаж база'!AH17*(1+скидки_наценки!$B$29)*скидки_наценки!$D$19*скидки_наценки!$F$19/скидки_наценки!$B$4</f>
        <v>1650</v>
      </c>
      <c r="S13" s="1080">
        <f>'Погонаж база'!AI17*(1+скидки_наценки!$B$29)*скидки_наценки!$D$19*скидки_наценки!$F$19/скидки_наценки!$B$4</f>
        <v>2500</v>
      </c>
      <c r="T13" s="1080">
        <f>'Погонаж база'!AK17*(1+скидки_наценки!$B$30)*скидки_наценки!$D$19*скидки_наценки!$F$19/скидки_наценки!$B$4</f>
        <v>300</v>
      </c>
      <c r="U13" s="1328">
        <f t="shared" si="1"/>
        <v>1650</v>
      </c>
      <c r="V13" s="1328">
        <f t="shared" si="2"/>
        <v>2500</v>
      </c>
      <c r="W13" s="1328">
        <f t="shared" si="3"/>
        <v>300</v>
      </c>
      <c r="X13" s="1080">
        <f>'Погонаж база'!AS17*(1+скидки_наценки!$B$32)*скидки_наценки!$D$19*скидки_наценки!$F$19/скидки_наценки!$B$4</f>
        <v>170</v>
      </c>
      <c r="Y13" s="1080">
        <f>'Погонаж база'!AT17*(1+скидки_наценки!$B$29)*скидки_наценки!$D$19*скидки_наценки!$F$19/скидки_наценки!$B$4</f>
        <v>1000</v>
      </c>
      <c r="Z13" s="814"/>
      <c r="AA13" s="768"/>
      <c r="AB13" s="768"/>
      <c r="AC13" s="768"/>
    </row>
    <row r="14" spans="1:29" s="137" customFormat="1" ht="49.5" customHeight="1">
      <c r="A14" s="3417"/>
      <c r="B14" s="1847" t="s">
        <v>1806</v>
      </c>
      <c r="C14" s="364">
        <f>'Погонаж база'!D18*(1+скидки_наценки!$B$29)*скидки_наценки!$D$19*скидки_наценки!$F$19/скидки_наценки!$B$4</f>
        <v>3050</v>
      </c>
      <c r="D14" s="364">
        <f>E14</f>
        <v>1700</v>
      </c>
      <c r="E14" s="364">
        <f>'Погонаж база'!M18*(1+скидки_наценки!$B$29)*скидки_наценки!$D$19*скидки_наценки!$F$19/скидки_наценки!$B$4</f>
        <v>1700</v>
      </c>
      <c r="F14" s="364">
        <f>'Погонаж база'!N18*(1+скидки_наценки!$B$29)*скидки_наценки!$D$19*скидки_наценки!$F$19/скидки_наценки!$B$4</f>
        <v>1950</v>
      </c>
      <c r="G14" s="364">
        <f>'Погонаж база'!O18*(1+скидки_наценки!$B$29)*скидки_наценки!$D$19*скидки_наценки!$F$19/скидки_наценки!$B$4</f>
        <v>1950</v>
      </c>
      <c r="H14" s="364">
        <f>'Погонаж база'!P18*(1+скидки_наценки!$B$29)*скидки_наценки!$D$19*скидки_наценки!$F$19/скидки_наценки!$B$4</f>
        <v>2150</v>
      </c>
      <c r="I14" s="364">
        <f>'Погонаж база'!Q18*(1+скидки_наценки!$B$30)*скидки_наценки!$D$19*скидки_наценки!$F$19/скидки_наценки!$B$4</f>
        <v>2700</v>
      </c>
      <c r="J14" s="364" t="s">
        <v>1311</v>
      </c>
      <c r="K14" s="364" t="s">
        <v>1311</v>
      </c>
      <c r="L14" s="364">
        <f>CEILING(L13*1.07, 50)</f>
        <v>0</v>
      </c>
      <c r="M14" s="364">
        <f>CEILING(M13*1.07, 50)</f>
        <v>0</v>
      </c>
      <c r="N14" s="364">
        <f>CEILING(N13*1.07, 50)</f>
        <v>0</v>
      </c>
      <c r="O14" s="1238" t="s">
        <v>1311</v>
      </c>
      <c r="P14" s="1238" t="s">
        <v>1311</v>
      </c>
      <c r="Q14" s="1238" t="s">
        <v>1311</v>
      </c>
      <c r="R14" s="364">
        <f>'Погонаж база'!AH18*(1+скидки_наценки!$B$29)*скидки_наценки!$D$19*скидки_наценки!$F$19/скидки_наценки!$B$4</f>
        <v>1700</v>
      </c>
      <c r="S14" s="364">
        <f>'Погонаж база'!AI18*(1+скидки_наценки!$B$29)*скидки_наценки!$D$19*скидки_наценки!$F$19/скидки_наценки!$B$4</f>
        <v>2650</v>
      </c>
      <c r="T14" s="364">
        <f>'Погонаж база'!AK18*(1+скидки_наценки!$B$30)*скидки_наценки!$D$19*скидки_наценки!$F$19/скидки_наценки!$B$4</f>
        <v>310</v>
      </c>
      <c r="U14" s="1238" t="s">
        <v>1311</v>
      </c>
      <c r="V14" s="1238" t="s">
        <v>1311</v>
      </c>
      <c r="W14" s="1238" t="s">
        <v>1311</v>
      </c>
      <c r="X14" s="364">
        <f>'Погонаж база'!AS18*(1+скидки_наценки!$B$32)*скидки_наценки!$D$19*скидки_наценки!$F$19/скидки_наценки!$B$4</f>
        <v>170</v>
      </c>
      <c r="Y14" s="364">
        <f>'Погонаж база'!AT18*(1+скидки_наценки!$B$29)*скидки_наценки!$D$19*скидки_наценки!$F$19/скидки_наценки!$B$4</f>
        <v>1020</v>
      </c>
      <c r="Z14" s="814"/>
      <c r="AA14" s="768"/>
      <c r="AB14" s="768"/>
      <c r="AC14" s="768"/>
    </row>
    <row r="15" spans="1:29" s="137" customFormat="1" ht="49.5" customHeight="1">
      <c r="A15" s="3418"/>
      <c r="B15" s="1141" t="s">
        <v>1294</v>
      </c>
      <c r="C15" s="1080">
        <f>'Погонаж база'!D19*(1+скидки_наценки!$B$29)*скидки_наценки!$D$19*скидки_наценки!$F$19/скидки_наценки!$B$4</f>
        <v>3200</v>
      </c>
      <c r="D15" s="1080">
        <f t="shared" si="0"/>
        <v>1750</v>
      </c>
      <c r="E15" s="1080">
        <f>'Погонаж база'!M19*(1+скидки_наценки!$B$29)*скидки_наценки!$D$19*скидки_наценки!$F$19/скидки_наценки!$B$4</f>
        <v>1750</v>
      </c>
      <c r="F15" s="1080">
        <f>'Погонаж база'!N19*(1+скидки_наценки!$B$29)*скидки_наценки!$D$19*скидки_наценки!$F$19/скидки_наценки!$B$4</f>
        <v>2050</v>
      </c>
      <c r="G15" s="1080">
        <f>'Погонаж база'!O19*(1+скидки_наценки!$B$29)*скидки_наценки!$D$19*скидки_наценки!$F$19/скидки_наценки!$B$4</f>
        <v>2050</v>
      </c>
      <c r="H15" s="1080">
        <f>'Погонаж база'!P19*(1+скидки_наценки!$B$29)*скидки_наценки!$D$19*скидки_наценки!$F$19/скидки_наценки!$B$4</f>
        <v>2250</v>
      </c>
      <c r="I15" s="1080">
        <f>'Погонаж база'!Q19*(1+скидки_наценки!$B$30)*скидки_наценки!$D$19*скидки_наценки!$F$19/скидки_наценки!$B$4</f>
        <v>2800</v>
      </c>
      <c r="J15" s="1080">
        <f>'Погонаж база'!T19*(1+скидки_наценки!$B$29)*скидки_наценки!$D$19*скидки_наценки!$F$19/скидки_наценки!$B$4</f>
        <v>3100</v>
      </c>
      <c r="K15" s="1080">
        <f>CEILING('Погонаж база'!U19*(1+скидки_наценки!$B$29)*скидки_наценки!$D$19*скидки_наценки!$F$19/скидки_наценки!$B$4, 50)</f>
        <v>0</v>
      </c>
      <c r="L15" s="1080">
        <f>CEILING('Погонаж база'!V19*(1+скидки_наценки!$B$29)*скидки_наценки!$D$19*скидки_наценки!$F$19/скидки_наценки!$B$4, 50)</f>
        <v>0</v>
      </c>
      <c r="M15" s="1080">
        <f>CEILING('Погонаж база'!W19*(1+скидки_наценки!$B$29)*скидки_наценки!$D$19*скидки_наценки!$F$19/скидки_наценки!$B$4, 50)</f>
        <v>0</v>
      </c>
      <c r="N15" s="1080">
        <f>CEILING('Погонаж база'!Y19*(1+скидки_наценки!$B$29)*скидки_наценки!$D$19*скидки_наценки!$F$19/скидки_наценки!$B$4, 50)</f>
        <v>0</v>
      </c>
      <c r="O15" s="1237" t="s">
        <v>1315</v>
      </c>
      <c r="P15" s="1237" t="s">
        <v>1315</v>
      </c>
      <c r="Q15" s="1237" t="s">
        <v>1315</v>
      </c>
      <c r="R15" s="1080">
        <f>'Погонаж база'!AH19*(1+скидки_наценки!$B$29)*скидки_наценки!$D$19*скидки_наценки!$F$19/скидки_наценки!$B$4</f>
        <v>1750</v>
      </c>
      <c r="S15" s="1080">
        <f>'Погонаж база'!AI19*(1+скидки_наценки!$B$29)*скидки_наценки!$D$19*скидки_наценки!$F$19/скидки_наценки!$B$4</f>
        <v>2750</v>
      </c>
      <c r="T15" s="1080">
        <f>'Погонаж база'!AK19*(1+скидки_наценки!$B$30)*скидки_наценки!$D$19*скидки_наценки!$F$19/скидки_наценки!$B$4</f>
        <v>320</v>
      </c>
      <c r="U15" s="1842">
        <f t="shared" si="1"/>
        <v>1750</v>
      </c>
      <c r="V15" s="1842">
        <f t="shared" si="2"/>
        <v>2750</v>
      </c>
      <c r="W15" s="1842">
        <f t="shared" si="3"/>
        <v>320</v>
      </c>
      <c r="X15" s="1080">
        <f>'Погонаж база'!AS19*(1+скидки_наценки!$B$32)*скидки_наценки!$D$19*скидки_наценки!$F$19/скидки_наценки!$B$4</f>
        <v>170</v>
      </c>
      <c r="Y15" s="1080">
        <f>'Погонаж база'!AT19*(1+скидки_наценки!$B$29)*скидки_наценки!$D$19*скидки_наценки!$F$19/скидки_наценки!$B$4</f>
        <v>1100</v>
      </c>
      <c r="Z15" s="814"/>
      <c r="AA15" s="768"/>
      <c r="AB15" s="768"/>
      <c r="AC15" s="768"/>
    </row>
    <row r="16" spans="1:29" s="137" customFormat="1" ht="15" customHeight="1">
      <c r="A16" s="232"/>
      <c r="B16" s="809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</row>
    <row r="17" spans="1:56" s="11" customFormat="1" ht="15" customHeight="1">
      <c r="A17" s="1365" t="s">
        <v>19</v>
      </c>
      <c r="D17" s="62"/>
      <c r="E17" s="62"/>
      <c r="F17" s="166"/>
      <c r="G17" s="166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61"/>
      <c r="U17" s="61"/>
      <c r="V17" s="61"/>
      <c r="W17" s="61"/>
      <c r="X17" s="61"/>
      <c r="Y17" s="61"/>
      <c r="Z17" s="62"/>
    </row>
    <row r="18" spans="1:56" s="137" customFormat="1" ht="45.75" customHeight="1">
      <c r="A18" s="3464" t="s">
        <v>1565</v>
      </c>
      <c r="B18" s="3464"/>
      <c r="C18" s="1328">
        <f>IFERROR(#REF!/(1-#REF!)*#REF!*скидки_наценки!$D$13*скидки_наценки!$F$13,0)</f>
        <v>0</v>
      </c>
      <c r="D18" s="1328">
        <f>IFERROR(#REF!/(1-#REF!)*#REF!*скидки_наценки!$D$13*скидки_наценки!$F$13,0)</f>
        <v>0</v>
      </c>
      <c r="E18" s="1328">
        <f>IFERROR(#REF!/(1-#REF!)*#REF!*скидки_наценки!$D$13*скидки_наценки!$F$13,0)</f>
        <v>0</v>
      </c>
      <c r="F18" s="1328">
        <f>IFERROR(#REF!/(1-#REF!)*#REF!*скидки_наценки!$D$13*скидки_наценки!$F$13,0)</f>
        <v>0</v>
      </c>
      <c r="G18" s="1328">
        <f>IFERROR(#REF!/(1-#REF!)*#REF!*скидки_наценки!$D$13*скидки_наценки!$F$13,0)</f>
        <v>0</v>
      </c>
      <c r="H18" s="1328">
        <f>IFERROR(#REF!/(1-#REF!)*#REF!*скидки_наценки!$D$13*скидки_наценки!$F$13,0)</f>
        <v>0</v>
      </c>
      <c r="I18" s="1328">
        <f>IFERROR(#REF!/(1-#REF!)*#REF!*скидки_наценки!$D$13*скидки_наценки!$F$13,0)</f>
        <v>0</v>
      </c>
      <c r="J18" s="2533">
        <v>0.01</v>
      </c>
      <c r="K18" s="2533">
        <v>0.01</v>
      </c>
      <c r="L18" s="1328">
        <f>IFERROR(#REF!/(1-#REF!)*#REF!*скидки_наценки!$D$13*скидки_наценки!$F$13,0)</f>
        <v>0</v>
      </c>
      <c r="M18" s="1328">
        <f>IFERROR(#REF!/(1-#REF!)*#REF!*скидки_наценки!$D$13*скидки_наценки!$F$13,0)</f>
        <v>0</v>
      </c>
      <c r="N18" s="2533">
        <v>0.01</v>
      </c>
      <c r="O18" s="1329" t="s">
        <v>1315</v>
      </c>
      <c r="P18" s="1329" t="s">
        <v>1315</v>
      </c>
      <c r="Q18" s="1329" t="s">
        <v>1315</v>
      </c>
      <c r="R18" s="1329" t="s">
        <v>1315</v>
      </c>
      <c r="S18" s="1329" t="s">
        <v>1315</v>
      </c>
      <c r="T18" s="1329" t="s">
        <v>1315</v>
      </c>
      <c r="U18" s="1329" t="s">
        <v>1315</v>
      </c>
      <c r="V18" s="1329" t="s">
        <v>1315</v>
      </c>
      <c r="W18" s="1329" t="s">
        <v>1315</v>
      </c>
      <c r="X18" s="1329" t="s">
        <v>1315</v>
      </c>
      <c r="Y18" s="1329" t="s">
        <v>1315</v>
      </c>
    </row>
    <row r="19" spans="1:56" s="137" customFormat="1" ht="25.5" hidden="1" customHeight="1">
      <c r="A19" s="3465" t="s">
        <v>1409</v>
      </c>
      <c r="B19" s="3465"/>
      <c r="C19" s="1330">
        <f>IFERROR(#REF!/(1-#REF!)*#REF!*скидки_наценки!$D$13*скидки_наценки!$F$13,0)</f>
        <v>0</v>
      </c>
      <c r="D19" s="1330">
        <f>IFERROR(#REF!/(1-#REF!)*#REF!*скидки_наценки!$D$13*скидки_наценки!$F$13,0)</f>
        <v>0</v>
      </c>
      <c r="E19" s="1330">
        <f>IFERROR(#REF!/(1-#REF!)*#REF!*скидки_наценки!$D$13*скидки_наценки!$F$13,0)</f>
        <v>0</v>
      </c>
      <c r="F19" s="1330">
        <f>IFERROR(#REF!/(1-#REF!)*#REF!*скидки_наценки!$D$13*скидки_наценки!$F$13,0)</f>
        <v>0</v>
      </c>
      <c r="G19" s="1330">
        <f>IFERROR(#REF!/(1-#REF!)*#REF!*скидки_наценки!$D$13*скидки_наценки!$F$13,0)</f>
        <v>0</v>
      </c>
      <c r="H19" s="1330">
        <f>IFERROR(#REF!/(1-#REF!)*#REF!*скидки_наценки!$D$13*скидки_наценки!$F$13,0)</f>
        <v>0</v>
      </c>
      <c r="I19" s="1330">
        <f>IFERROR(#REF!/(1-#REF!)*#REF!*скидки_наценки!$D$13*скидки_наценки!$F$13,0)</f>
        <v>0</v>
      </c>
      <c r="J19" s="1330">
        <f>IFERROR(#REF!/(1-#REF!)*#REF!*скидки_наценки!$D$13*скидки_наценки!$F$13,0)</f>
        <v>0</v>
      </c>
      <c r="K19" s="1330" t="e">
        <f>CEILING(#REF!*(1+скидки_наценки!$B$28)*скидки_наценки!$D$21*скидки_наценки!$F$21/скидки_наценки!$B$4, 50)</f>
        <v>#REF!</v>
      </c>
      <c r="L19" s="1330">
        <f>IFERROR(#REF!/(1-#REF!)*#REF!*скидки_наценки!$D$13*скидки_наценки!$F$13,0)</f>
        <v>0</v>
      </c>
      <c r="M19" s="1330">
        <f>IFERROR(#REF!/(1-#REF!)*#REF!*скидки_наценки!$D$13*скидки_наценки!$F$13,0)</f>
        <v>0</v>
      </c>
      <c r="N19" s="1330" t="e">
        <f>K19</f>
        <v>#REF!</v>
      </c>
      <c r="O19" s="1331" t="s">
        <v>1311</v>
      </c>
      <c r="P19" s="1331" t="s">
        <v>1311</v>
      </c>
      <c r="Q19" s="1331" t="s">
        <v>1311</v>
      </c>
      <c r="R19" s="1330">
        <f>IFERROR(#REF!/(1-#REF!)*#REF!*скидки_наценки!$D$13*скидки_наценки!$F$13,0)</f>
        <v>0</v>
      </c>
      <c r="S19" s="1330">
        <f>IFERROR(#REF!/(1-#REF!)*#REF!*скидки_наценки!$D$13*скидки_наценки!$F$13,0)</f>
        <v>0</v>
      </c>
      <c r="T19" s="1330">
        <f>IFERROR(#REF!/(1-#REF!)*#REF!*скидки_наценки!$D$13*скидки_наценки!$F$13,0)</f>
        <v>0</v>
      </c>
      <c r="U19" s="1330"/>
      <c r="V19" s="1330"/>
      <c r="W19" s="1330"/>
      <c r="X19" s="1330">
        <f>IFERROR(#REF!/(1-#REF!)*#REF!*скидки_наценки!$D$13*скидки_наценки!$F$13,0)</f>
        <v>0</v>
      </c>
      <c r="Y19" s="1330">
        <f>IFERROR(#REF!/(1-#REF!)*#REF!*скидки_наценки!$D$13*скидки_наценки!$F$13,0)</f>
        <v>0</v>
      </c>
    </row>
    <row r="20" spans="1:56" s="11" customFormat="1" ht="15" customHeight="1">
      <c r="A20" s="22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214"/>
    </row>
    <row r="21" spans="1:56" s="71" customFormat="1" ht="15" customHeight="1">
      <c r="A21" s="1455" t="s">
        <v>99</v>
      </c>
      <c r="H21" s="128"/>
      <c r="I21" s="471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61"/>
    </row>
    <row r="22" spans="1:56" s="71" customFormat="1" ht="15" customHeight="1">
      <c r="A22" s="71" t="s">
        <v>1210</v>
      </c>
      <c r="B22" s="11"/>
      <c r="H22" s="1205"/>
      <c r="I22" s="471"/>
      <c r="J22" s="128"/>
      <c r="K22" s="128"/>
      <c r="L22" s="128"/>
      <c r="M22" s="263"/>
      <c r="N22" s="467"/>
      <c r="O22" s="471"/>
      <c r="P22" s="471"/>
      <c r="Q22" s="471"/>
      <c r="R22" s="128"/>
      <c r="S22" s="128"/>
      <c r="T22" s="128"/>
      <c r="U22" s="471"/>
      <c r="V22" s="471"/>
      <c r="W22" s="471"/>
    </row>
    <row r="23" spans="1:56" s="133" customFormat="1" ht="15" customHeight="1">
      <c r="A23" s="10"/>
      <c r="B23" s="448" t="s">
        <v>503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56" s="133" customFormat="1" ht="15" customHeight="1">
      <c r="A24" s="10"/>
      <c r="B24" s="448" t="s">
        <v>504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39"/>
    </row>
    <row r="25" spans="1:56" s="133" customFormat="1" ht="15" customHeight="1">
      <c r="A25" s="10"/>
      <c r="B25" s="448" t="s">
        <v>615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56" s="133" customFormat="1" ht="15" customHeight="1">
      <c r="A26" s="71" t="s">
        <v>1447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1:56" s="136" customFormat="1" ht="18.75" customHeight="1">
      <c r="A27" s="71" t="s">
        <v>1605</v>
      </c>
      <c r="B27" s="259"/>
      <c r="C27" s="259"/>
      <c r="D27" s="259"/>
      <c r="E27" s="259"/>
      <c r="F27" s="259"/>
      <c r="G27" s="259"/>
      <c r="H27" s="259"/>
      <c r="I27" s="471"/>
      <c r="J27" s="259"/>
      <c r="K27" s="259"/>
      <c r="L27" s="259"/>
      <c r="M27" s="263"/>
      <c r="N27" s="467"/>
      <c r="O27" s="471"/>
      <c r="P27" s="471"/>
      <c r="Q27" s="471"/>
      <c r="R27" s="259"/>
      <c r="S27" s="259"/>
      <c r="T27" s="128"/>
      <c r="U27" s="471"/>
      <c r="V27" s="471"/>
      <c r="W27" s="471"/>
    </row>
    <row r="28" spans="1:56" s="136" customFormat="1" ht="17.100000000000001" customHeight="1">
      <c r="A28" s="259"/>
      <c r="B28" s="259"/>
      <c r="C28" s="259"/>
      <c r="D28" s="259"/>
      <c r="E28" s="259"/>
      <c r="F28" s="259"/>
      <c r="G28" s="259"/>
      <c r="H28" s="259"/>
      <c r="I28" s="471"/>
      <c r="J28" s="259"/>
      <c r="K28" s="259"/>
      <c r="L28" s="259"/>
      <c r="M28" s="263"/>
      <c r="N28" s="467"/>
      <c r="O28" s="471"/>
      <c r="P28" s="471"/>
      <c r="Q28" s="471"/>
      <c r="R28" s="259"/>
      <c r="S28" s="259"/>
      <c r="T28" s="128"/>
      <c r="U28" s="471"/>
      <c r="V28" s="471"/>
      <c r="W28" s="471"/>
    </row>
    <row r="29" spans="1:56" s="71" customFormat="1" ht="48.75" customHeight="1">
      <c r="A29" s="3466" t="s">
        <v>125</v>
      </c>
      <c r="B29" s="3466"/>
      <c r="C29" s="3466"/>
      <c r="D29" s="3469" t="s">
        <v>126</v>
      </c>
      <c r="E29" s="3469"/>
      <c r="F29" s="3469"/>
      <c r="S29" s="138"/>
      <c r="T29" s="138"/>
      <c r="U29" s="138"/>
      <c r="V29" s="138"/>
      <c r="W29" s="138"/>
      <c r="X29" s="138"/>
      <c r="Y29" s="259"/>
      <c r="Z29" s="471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</row>
    <row r="30" spans="1:56" s="133" customFormat="1" ht="18" customHeight="1">
      <c r="A30" s="3463" t="s">
        <v>66</v>
      </c>
      <c r="B30" s="3463"/>
      <c r="C30" s="3447" t="s">
        <v>227</v>
      </c>
      <c r="D30" s="3448"/>
      <c r="E30" s="3448"/>
      <c r="F30" s="3448"/>
      <c r="G30" s="3472" t="s">
        <v>228</v>
      </c>
      <c r="H30" s="3472"/>
      <c r="I30" s="3472"/>
      <c r="J30" s="3472"/>
      <c r="K30" s="3472"/>
      <c r="L30" s="3472"/>
      <c r="M30" s="3413" t="s">
        <v>1166</v>
      </c>
      <c r="N30" s="2185" t="s">
        <v>67</v>
      </c>
      <c r="O30" s="2186"/>
      <c r="P30" s="138"/>
      <c r="Q30" s="138"/>
      <c r="X30" s="259"/>
      <c r="Y30" s="259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</row>
    <row r="31" spans="1:56" s="133" customFormat="1" ht="18" customHeight="1">
      <c r="A31" s="3463"/>
      <c r="B31" s="3463"/>
      <c r="C31" s="1061" t="s">
        <v>5</v>
      </c>
      <c r="D31" s="3470" t="s">
        <v>63</v>
      </c>
      <c r="E31" s="3470"/>
      <c r="F31" s="3470"/>
      <c r="G31" s="2196" t="s">
        <v>5</v>
      </c>
      <c r="H31" s="3508" t="s">
        <v>63</v>
      </c>
      <c r="I31" s="3509"/>
      <c r="J31" s="3510"/>
      <c r="K31" s="2196" t="s">
        <v>5</v>
      </c>
      <c r="L31" s="2197" t="s">
        <v>63</v>
      </c>
      <c r="M31" s="3414"/>
      <c r="N31" s="2187" t="s">
        <v>69</v>
      </c>
      <c r="O31" s="2188"/>
      <c r="P31" s="138"/>
      <c r="Q31" s="138"/>
      <c r="R31" s="325"/>
      <c r="S31" s="471"/>
      <c r="T31" s="325"/>
      <c r="U31" s="471"/>
      <c r="V31" s="471"/>
      <c r="W31" s="471"/>
      <c r="X31" s="325"/>
      <c r="Y31" s="325"/>
      <c r="Z31" s="325"/>
      <c r="AA31" s="325"/>
      <c r="AB31" s="325"/>
      <c r="AC31" s="325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</row>
    <row r="32" spans="1:56" s="137" customFormat="1" ht="25.5" customHeight="1">
      <c r="A32" s="3463"/>
      <c r="B32" s="3463"/>
      <c r="C32" s="1370" t="s">
        <v>197</v>
      </c>
      <c r="D32" s="3471" t="s">
        <v>244</v>
      </c>
      <c r="E32" s="3471"/>
      <c r="F32" s="3471"/>
      <c r="G32" s="2194" t="s">
        <v>197</v>
      </c>
      <c r="H32" s="3511" t="s">
        <v>244</v>
      </c>
      <c r="I32" s="3512"/>
      <c r="J32" s="3513"/>
      <c r="K32" s="2194" t="s">
        <v>197</v>
      </c>
      <c r="L32" s="2195" t="s">
        <v>244</v>
      </c>
      <c r="M32" s="3414"/>
      <c r="N32" s="3521" t="s">
        <v>1867</v>
      </c>
      <c r="O32" s="3521" t="s">
        <v>1868</v>
      </c>
      <c r="P32" s="138"/>
      <c r="Q32" s="138"/>
      <c r="R32" s="325"/>
      <c r="S32" s="471"/>
      <c r="T32" s="325"/>
      <c r="U32" s="471"/>
      <c r="V32" s="471"/>
      <c r="W32" s="471"/>
      <c r="X32" s="325"/>
      <c r="Y32" s="325"/>
      <c r="Z32" s="325"/>
      <c r="AA32" s="325"/>
      <c r="AB32" s="325"/>
      <c r="AC32" s="325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</row>
    <row r="33" spans="1:56" s="134" customFormat="1" ht="18" customHeight="1">
      <c r="A33" s="3463"/>
      <c r="B33" s="3463"/>
      <c r="C33" s="1370" t="s">
        <v>17</v>
      </c>
      <c r="D33" s="3472" t="s">
        <v>17</v>
      </c>
      <c r="E33" s="3472"/>
      <c r="F33" s="3472"/>
      <c r="G33" s="2194" t="s">
        <v>245</v>
      </c>
      <c r="H33" s="3447" t="s">
        <v>245</v>
      </c>
      <c r="I33" s="3448"/>
      <c r="J33" s="3449"/>
      <c r="K33" s="2194" t="s">
        <v>2046</v>
      </c>
      <c r="L33" s="2194" t="s">
        <v>2046</v>
      </c>
      <c r="M33" s="3474"/>
      <c r="N33" s="3522"/>
      <c r="O33" s="3522"/>
      <c r="P33" s="138"/>
      <c r="Q33" s="138"/>
      <c r="R33" s="325"/>
      <c r="S33" s="471"/>
      <c r="T33" s="325"/>
      <c r="U33" s="471"/>
      <c r="V33" s="471"/>
      <c r="W33" s="471"/>
      <c r="X33" s="325"/>
      <c r="Y33" s="325"/>
      <c r="Z33" s="325"/>
      <c r="AA33" s="325"/>
      <c r="AB33" s="325"/>
      <c r="AC33" s="325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</row>
    <row r="34" spans="1:56" s="134" customFormat="1" ht="18" customHeight="1">
      <c r="A34" s="3463"/>
      <c r="B34" s="3463"/>
      <c r="C34" s="2234" t="s">
        <v>128</v>
      </c>
      <c r="D34" s="2234" t="s">
        <v>2043</v>
      </c>
      <c r="E34" s="2234" t="s">
        <v>2044</v>
      </c>
      <c r="F34" s="2234" t="s">
        <v>2045</v>
      </c>
      <c r="G34" s="2234" t="s">
        <v>530</v>
      </c>
      <c r="H34" s="2234" t="str">
        <f>D34</f>
        <v>10 х 90 х 2150 мм</v>
      </c>
      <c r="I34" s="2234" t="str">
        <f>E34</f>
        <v>10 х 110 х 2400 мм</v>
      </c>
      <c r="J34" s="2234" t="str">
        <f>F34</f>
        <v>10 х 150 х 2700 мм</v>
      </c>
      <c r="K34" s="2234" t="s">
        <v>530</v>
      </c>
      <c r="L34" s="2234" t="s">
        <v>2056</v>
      </c>
      <c r="M34" s="2234" t="s">
        <v>1167</v>
      </c>
      <c r="N34" s="2235" t="s">
        <v>78</v>
      </c>
      <c r="O34" s="2235" t="s">
        <v>78</v>
      </c>
      <c r="P34" s="138"/>
      <c r="Q34" s="138"/>
      <c r="R34" s="325"/>
      <c r="S34" s="471"/>
      <c r="T34" s="325"/>
      <c r="U34" s="471"/>
      <c r="V34" s="471"/>
      <c r="W34" s="471"/>
      <c r="X34" s="325"/>
      <c r="Y34" s="325"/>
      <c r="Z34" s="325"/>
      <c r="AA34" s="325"/>
      <c r="AB34" s="325"/>
      <c r="AC34" s="325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</row>
    <row r="35" spans="1:56" s="136" customFormat="1" ht="60" customHeight="1">
      <c r="A35" s="3463"/>
      <c r="B35" s="3463"/>
      <c r="C35" s="1062" t="s">
        <v>1105</v>
      </c>
      <c r="D35" s="3478"/>
      <c r="E35" s="3479"/>
      <c r="F35" s="3480"/>
      <c r="G35" s="1062" t="s">
        <v>1105</v>
      </c>
      <c r="H35" s="2189"/>
      <c r="I35" s="2190"/>
      <c r="J35" s="2191"/>
      <c r="K35" s="1062" t="s">
        <v>1594</v>
      </c>
      <c r="L35" s="1062" t="s">
        <v>1594</v>
      </c>
      <c r="M35" s="1063"/>
      <c r="N35" s="1903" t="s">
        <v>80</v>
      </c>
      <c r="O35" s="1903" t="s">
        <v>80</v>
      </c>
      <c r="P35" s="138"/>
      <c r="Q35" s="138"/>
      <c r="R35" s="325"/>
      <c r="S35" s="471"/>
      <c r="T35" s="325"/>
      <c r="U35" s="471"/>
      <c r="V35" s="471"/>
      <c r="W35" s="471"/>
      <c r="X35" s="325"/>
      <c r="Y35" s="325"/>
      <c r="Z35" s="325"/>
      <c r="AA35" s="325"/>
      <c r="AB35" s="325"/>
      <c r="AC35" s="325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</row>
    <row r="36" spans="1:56" s="137" customFormat="1" ht="48" customHeight="1">
      <c r="A36" s="1143" t="s">
        <v>28</v>
      </c>
      <c r="B36" s="1141" t="s">
        <v>207</v>
      </c>
      <c r="C36" s="1064">
        <f>'Погонаж база'!F15*(1+скидки_наценки!$B$30)*скидки_наценки!$D$19*скидки_наценки!$F$19/скидки_наценки!$B$4</f>
        <v>2580</v>
      </c>
      <c r="D36" s="1064">
        <f>'Погонаж база'!Z15*(1+скидки_наценки!$B$28)*скидки_наценки!$D$19*скидки_наценки!$F$19/скидки_наценки!$B$4</f>
        <v>1500</v>
      </c>
      <c r="E36" s="1064">
        <f>'Погонаж база'!AA15*(1+скидки_наценки!$B$28)*скидки_наценки!$D$19*скидки_наценки!$F$19/скидки_наценки!$B$4</f>
        <v>2400</v>
      </c>
      <c r="F36" s="1064">
        <f>'Погонаж база'!AB15*(1+скидки_наценки!$B$28)*скидки_наценки!$D$19*скидки_наценки!$F$19/скидки_наценки!$B$4</f>
        <v>3750</v>
      </c>
      <c r="G36" s="1064">
        <f>'Погонаж база'!G15*(1+скидки_наценки!$B$30)*скидки_наценки!$D$21*скидки_наценки!$F$21/скидки_наценки!$B$4</f>
        <v>2840</v>
      </c>
      <c r="H36" s="1064">
        <f t="shared" ref="H36:J40" si="4">D36</f>
        <v>1500</v>
      </c>
      <c r="I36" s="1064">
        <f t="shared" si="4"/>
        <v>2400</v>
      </c>
      <c r="J36" s="1064">
        <f t="shared" si="4"/>
        <v>3750</v>
      </c>
      <c r="K36" s="1064">
        <f>'Погонаж база'!G15*1.3*(1+скидки_наценки!$B$30)*скидки_наценки!$D$21*скидки_наценки!$F$21/скидки_наценки!$B$4</f>
        <v>3692</v>
      </c>
      <c r="L36" s="1064">
        <f>H36*1.3</f>
        <v>1950</v>
      </c>
      <c r="M36" s="1064">
        <f>S11</f>
        <v>2210</v>
      </c>
      <c r="N36" s="1080">
        <f>'Погонаж база'!W15*(1+скидки_наценки!$B$30)*скидки_наценки!$D$19*скидки_наценки!$F$19/скидки_наценки!$B$4</f>
        <v>3210</v>
      </c>
      <c r="O36" s="1080">
        <f>'Погонаж база'!W15*(1+скидки_наценки!$B$30)*скидки_наценки!$D$19*скидки_наценки!$F$19/скидки_наценки!$B$4</f>
        <v>3210</v>
      </c>
      <c r="P36" s="138"/>
      <c r="Q36" s="138"/>
      <c r="R36" s="325"/>
      <c r="S36" s="471"/>
      <c r="T36" s="325"/>
      <c r="U36" s="471"/>
      <c r="V36" s="471"/>
      <c r="W36" s="471"/>
      <c r="X36" s="325"/>
      <c r="Y36" s="325"/>
      <c r="Z36" s="325"/>
      <c r="AA36" s="325"/>
      <c r="AB36" s="325"/>
      <c r="AC36" s="325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</row>
    <row r="37" spans="1:56" s="137" customFormat="1" ht="33.75" customHeight="1">
      <c r="A37" s="3467" t="s">
        <v>25</v>
      </c>
      <c r="B37" s="1142" t="s">
        <v>1281</v>
      </c>
      <c r="C37" s="1065">
        <f>'Погонаж база'!F16*(1+скидки_наценки!$B$29)*скидки_наценки!$D$19*скидки_наценки!$F$19/скидки_наценки!$B$4</f>
        <v>2750</v>
      </c>
      <c r="D37" s="1065">
        <f>'Погонаж база'!Z16*(1+скидки_наценки!$B$28)*скидки_наценки!$D$19*скидки_наценки!$F$19/скидки_наценки!$B$4</f>
        <v>1600</v>
      </c>
      <c r="E37" s="1065">
        <f>'Погонаж база'!AA16*(1+скидки_наценки!$B$28)*скидки_наценки!$D$19*скидки_наценки!$F$19/скидки_наценки!$B$4</f>
        <v>2550</v>
      </c>
      <c r="F37" s="1065">
        <f>'Погонаж база'!AB16*(1+скидки_наценки!$B$28)*скидки_наценки!$D$19*скидки_наценки!$F$19/скидки_наценки!$B$4</f>
        <v>3950</v>
      </c>
      <c r="G37" s="1065">
        <f>'Погонаж база'!G16*(1+скидки_наценки!$B$29)*скидки_наценки!$D$21*скидки_наценки!$F$21/скидки_наценки!$B$4</f>
        <v>3000</v>
      </c>
      <c r="H37" s="1065">
        <f t="shared" si="4"/>
        <v>1600</v>
      </c>
      <c r="I37" s="1065">
        <f t="shared" si="4"/>
        <v>2550</v>
      </c>
      <c r="J37" s="1065">
        <f t="shared" si="4"/>
        <v>3950</v>
      </c>
      <c r="K37" s="1065">
        <f>'Погонаж база'!G16*1.3*(1+скидки_наценки!$B$29)*скидки_наценки!$D$21*скидки_наценки!$F$21/скидки_наценки!$B$4</f>
        <v>3900</v>
      </c>
      <c r="L37" s="1065">
        <f>H37*1.3</f>
        <v>2080</v>
      </c>
      <c r="M37" s="1065">
        <f>S12</f>
        <v>2350</v>
      </c>
      <c r="N37" s="1905" t="s">
        <v>3</v>
      </c>
      <c r="O37" s="1905" t="s">
        <v>3</v>
      </c>
      <c r="P37" s="138"/>
      <c r="Q37" s="138"/>
      <c r="R37" s="325"/>
      <c r="S37" s="471"/>
      <c r="T37" s="325"/>
      <c r="U37" s="471"/>
      <c r="V37" s="471"/>
      <c r="W37" s="471"/>
      <c r="X37" s="325"/>
      <c r="Y37" s="325"/>
      <c r="Z37" s="325"/>
      <c r="AA37" s="325"/>
      <c r="AB37" s="325"/>
      <c r="AC37" s="325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</row>
    <row r="38" spans="1:56" s="137" customFormat="1" ht="33.75" customHeight="1">
      <c r="A38" s="3467"/>
      <c r="B38" s="1141" t="s">
        <v>1288</v>
      </c>
      <c r="C38" s="1064">
        <f>'Погонаж база'!F17*(1+скидки_наценки!$B$29)*скидки_наценки!$D$19*скидки_наценки!$F$19/скидки_наценки!$B$4</f>
        <v>2950</v>
      </c>
      <c r="D38" s="1064">
        <f>'Погонаж база'!Z17*(1+скидки_наценки!$B$28)*скидки_наценки!$D$19*скидки_наценки!$F$19/скидки_наценки!$B$4</f>
        <v>1700</v>
      </c>
      <c r="E38" s="1064">
        <f>'Погонаж база'!AA17*(1+скидки_наценки!$B$28)*скидки_наценки!$D$19*скидки_наценки!$F$19/скидки_наценки!$B$4</f>
        <v>2750</v>
      </c>
      <c r="F38" s="1064">
        <f>'Погонаж база'!AB17*(1+скидки_наценки!$B$28)*скидки_наценки!$D$19*скидки_наценки!$F$19/скидки_наценки!$B$4</f>
        <v>4250</v>
      </c>
      <c r="G38" s="1064">
        <f>'Погонаж база'!G17*(1+скидки_наценки!$B$29)*скидки_наценки!$D$21*скидки_наценки!$F$21/скидки_наценки!$B$4</f>
        <v>3250</v>
      </c>
      <c r="H38" s="1064">
        <f t="shared" si="4"/>
        <v>1700</v>
      </c>
      <c r="I38" s="1064">
        <f t="shared" si="4"/>
        <v>2750</v>
      </c>
      <c r="J38" s="1064">
        <f t="shared" si="4"/>
        <v>4250</v>
      </c>
      <c r="K38" s="1064">
        <f>'Погонаж база'!G17*1.3*(1+скидки_наценки!$B$29)*скидки_наценки!$D$21*скидки_наценки!$F$21/скидки_наценки!$B$4</f>
        <v>4225</v>
      </c>
      <c r="L38" s="1064">
        <f>H38*1.3</f>
        <v>2210</v>
      </c>
      <c r="M38" s="1064">
        <f>S13</f>
        <v>2500</v>
      </c>
      <c r="N38" s="1904" t="s">
        <v>3</v>
      </c>
      <c r="O38" s="1904" t="s">
        <v>3</v>
      </c>
      <c r="P38" s="138"/>
      <c r="Q38" s="138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471"/>
      <c r="BC38" s="471"/>
      <c r="BD38" s="471"/>
    </row>
    <row r="39" spans="1:56" s="137" customFormat="1" ht="33.75" customHeight="1">
      <c r="A39" s="3468"/>
      <c r="B39" s="1847" t="s">
        <v>1806</v>
      </c>
      <c r="C39" s="1065">
        <f>'Погонаж база'!F18*(1+скидки_наценки!$B$29)*скидки_наценки!$D$19*скидки_наценки!$F$19/скидки_наценки!$B$4</f>
        <v>3050</v>
      </c>
      <c r="D39" s="1065">
        <f>'Погонаж база'!Z18*(1+скидки_наценки!$B$28)*скидки_наценки!$D$19*скидки_наценки!$F$19/скидки_наценки!$B$4</f>
        <v>1800</v>
      </c>
      <c r="E39" s="1065">
        <f>'Погонаж база'!AA18*(1+скидки_наценки!$B$28)*скидки_наценки!$D$19*скидки_наценки!$F$19/скидки_наценки!$B$4</f>
        <v>2850</v>
      </c>
      <c r="F39" s="1065">
        <f>'Погонаж база'!AB18*(1+скидки_наценки!$B$28)*скидки_наценки!$D$19*скидки_наценки!$F$19/скидки_наценки!$B$4</f>
        <v>4450</v>
      </c>
      <c r="G39" s="1065">
        <f>'Погонаж база'!G18*(1+скидки_наценки!$B$29)*скидки_наценки!$D$21*скидки_наценки!$F$21/скидки_наценки!$B$4</f>
        <v>3400</v>
      </c>
      <c r="H39" s="1065">
        <f t="shared" si="4"/>
        <v>1800</v>
      </c>
      <c r="I39" s="1065">
        <f t="shared" si="4"/>
        <v>2850</v>
      </c>
      <c r="J39" s="1065">
        <f t="shared" si="4"/>
        <v>4450</v>
      </c>
      <c r="K39" s="1065">
        <f>'Погонаж база'!G18*1.3*(1+скидки_наценки!$B$29)*скидки_наценки!$D$21*скидки_наценки!$F$21/скидки_наценки!$B$4</f>
        <v>4420</v>
      </c>
      <c r="L39" s="1065">
        <f>H39*1.3</f>
        <v>2340</v>
      </c>
      <c r="M39" s="1065">
        <f>S14</f>
        <v>2650</v>
      </c>
      <c r="N39" s="1905" t="s">
        <v>3</v>
      </c>
      <c r="O39" s="1905" t="s">
        <v>3</v>
      </c>
      <c r="P39" s="138"/>
      <c r="Q39" s="138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71"/>
      <c r="AK39" s="471"/>
      <c r="AL39" s="471"/>
      <c r="AM39" s="471"/>
      <c r="AN39" s="471"/>
      <c r="AO39" s="471"/>
      <c r="AP39" s="471"/>
      <c r="AQ39" s="471"/>
      <c r="AR39" s="471"/>
      <c r="AS39" s="471"/>
      <c r="AT39" s="471"/>
      <c r="AU39" s="471"/>
      <c r="AV39" s="471"/>
      <c r="AW39" s="471"/>
      <c r="AX39" s="471"/>
      <c r="AY39" s="471"/>
      <c r="AZ39" s="471"/>
      <c r="BA39" s="471"/>
      <c r="BB39" s="471"/>
      <c r="BC39" s="471"/>
      <c r="BD39" s="471"/>
    </row>
    <row r="40" spans="1:56" s="137" customFormat="1" ht="33.75" customHeight="1">
      <c r="A40" s="3467"/>
      <c r="B40" s="1141" t="s">
        <v>1293</v>
      </c>
      <c r="C40" s="1064">
        <f>'Погонаж база'!F19*(1+скидки_наценки!$B$29)*скидки_наценки!$D$19*скидки_наценки!$F$19/скидки_наценки!$B$4</f>
        <v>3200</v>
      </c>
      <c r="D40" s="1064">
        <f>'Погонаж база'!Z19*(1+скидки_наценки!$B$28)*скидки_наценки!$D$19*скидки_наценки!$F$19/скидки_наценки!$B$4</f>
        <v>1850</v>
      </c>
      <c r="E40" s="1064">
        <f>'Погонаж база'!AA19*(1+скидки_наценки!$B$28)*скидки_наценки!$D$19*скидки_наценки!$F$19/скидки_наценки!$B$4</f>
        <v>3000</v>
      </c>
      <c r="F40" s="1064">
        <f>'Погонаж база'!AB19*(1+скидки_наценки!$B$28)*скидки_наценки!$D$19*скидки_наценки!$F$19/скидки_наценки!$B$4</f>
        <v>4650</v>
      </c>
      <c r="G40" s="1064">
        <f>'Погонаж база'!G19*(1+скидки_наценки!$B$29)*скидки_наценки!$D$21*скидки_наценки!$F$21/скидки_наценки!$B$4</f>
        <v>3500</v>
      </c>
      <c r="H40" s="1064">
        <f t="shared" si="4"/>
        <v>1850</v>
      </c>
      <c r="I40" s="1064">
        <f t="shared" si="4"/>
        <v>3000</v>
      </c>
      <c r="J40" s="1064">
        <f t="shared" si="4"/>
        <v>4650</v>
      </c>
      <c r="K40" s="1064">
        <f>'Погонаж база'!G19*1.3*(1+скидки_наценки!$B$29)*скидки_наценки!$D$21*скидки_наценки!$F$21/скидки_наценки!$B$4</f>
        <v>4550</v>
      </c>
      <c r="L40" s="1064">
        <f>H40*1.3</f>
        <v>2405</v>
      </c>
      <c r="M40" s="1064">
        <f>S15</f>
        <v>2750</v>
      </c>
      <c r="N40" s="1904" t="s">
        <v>3</v>
      </c>
      <c r="O40" s="1904" t="s">
        <v>3</v>
      </c>
      <c r="P40" s="138"/>
      <c r="Q40" s="138"/>
      <c r="R40" s="325"/>
      <c r="S40" s="471"/>
      <c r="T40" s="325"/>
      <c r="U40" s="471"/>
      <c r="V40" s="471"/>
      <c r="W40" s="471"/>
      <c r="X40" s="325"/>
      <c r="Y40" s="325"/>
      <c r="Z40" s="325"/>
      <c r="AA40" s="325"/>
      <c r="AB40" s="325"/>
      <c r="AC40" s="325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</row>
    <row r="41" spans="1:56" s="11" customFormat="1" ht="15" customHeight="1">
      <c r="A41" s="71" t="s">
        <v>2079</v>
      </c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</row>
    <row r="42" spans="1:56" s="11" customFormat="1" ht="15" customHeight="1"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</row>
    <row r="43" spans="1:56" s="11" customFormat="1" ht="47.25" customHeight="1">
      <c r="A43" s="3469" t="s">
        <v>204</v>
      </c>
      <c r="B43" s="3469"/>
      <c r="C43" s="3469"/>
      <c r="D43" s="3502" t="s">
        <v>127</v>
      </c>
      <c r="E43" s="3502"/>
      <c r="F43" s="3502"/>
      <c r="G43" s="3502"/>
      <c r="H43" s="3502"/>
      <c r="I43" s="1833" t="s">
        <v>493</v>
      </c>
      <c r="J43" s="1833"/>
      <c r="K43" s="1833"/>
      <c r="L43" s="1833"/>
      <c r="M43" s="1833"/>
      <c r="N43" s="1833"/>
      <c r="O43" s="1833"/>
      <c r="S43" s="138"/>
      <c r="T43" s="138"/>
      <c r="U43" s="138"/>
      <c r="V43" s="138"/>
      <c r="W43" s="138"/>
      <c r="X43" s="138"/>
    </row>
    <row r="44" spans="1:56" s="11" customFormat="1" ht="15" customHeight="1">
      <c r="A44" s="3463" t="s">
        <v>66</v>
      </c>
      <c r="B44" s="3463"/>
      <c r="C44" s="1006" t="s">
        <v>5</v>
      </c>
      <c r="D44" s="3505" t="s">
        <v>63</v>
      </c>
      <c r="E44" s="3506"/>
      <c r="F44" s="3507" t="s">
        <v>64</v>
      </c>
      <c r="G44" s="3507"/>
      <c r="H44" s="3507"/>
      <c r="I44" s="3507"/>
      <c r="J44" s="214"/>
      <c r="K44" s="317" t="s">
        <v>494</v>
      </c>
      <c r="M44" s="621" t="s">
        <v>495</v>
      </c>
      <c r="O44" s="621"/>
      <c r="P44" s="621"/>
      <c r="Q44" s="621"/>
      <c r="S44" s="138"/>
      <c r="T44" s="138"/>
      <c r="U44" s="138"/>
      <c r="V44" s="138"/>
      <c r="W44" s="138"/>
      <c r="X44" s="138"/>
    </row>
    <row r="45" spans="1:56" s="11" customFormat="1" ht="15" customHeight="1">
      <c r="A45" s="3463"/>
      <c r="B45" s="3463"/>
      <c r="C45" s="3473" t="s">
        <v>197</v>
      </c>
      <c r="D45" s="3503" t="s">
        <v>67</v>
      </c>
      <c r="E45" s="3504"/>
      <c r="F45" s="3493" t="s">
        <v>1820</v>
      </c>
      <c r="G45" s="3493"/>
      <c r="H45" s="3493"/>
      <c r="I45" s="3493"/>
      <c r="J45" s="2176"/>
      <c r="K45" s="1834"/>
      <c r="L45" s="317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</row>
    <row r="46" spans="1:56" s="11" customFormat="1" ht="15" customHeight="1">
      <c r="A46" s="3463"/>
      <c r="B46" s="3463"/>
      <c r="C46" s="3474"/>
      <c r="D46" s="3475" t="s">
        <v>115</v>
      </c>
      <c r="E46" s="3450"/>
      <c r="F46" s="3493" t="s">
        <v>115</v>
      </c>
      <c r="G46" s="3493"/>
      <c r="H46" s="3493"/>
      <c r="I46" s="3493"/>
      <c r="J46" s="2176"/>
      <c r="K46" s="1834"/>
      <c r="L46" s="317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</row>
    <row r="47" spans="1:56" s="11" customFormat="1" ht="15" customHeight="1">
      <c r="A47" s="3463"/>
      <c r="B47" s="3463"/>
      <c r="C47" s="1001" t="s">
        <v>115</v>
      </c>
      <c r="D47" s="3476"/>
      <c r="E47" s="3477"/>
      <c r="F47" s="3493"/>
      <c r="G47" s="3493"/>
      <c r="H47" s="3493"/>
      <c r="I47" s="3493"/>
      <c r="J47" s="2176"/>
      <c r="K47" s="1834"/>
      <c r="L47" s="317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</row>
    <row r="48" spans="1:56" s="11" customFormat="1" ht="15" customHeight="1">
      <c r="A48" s="3463"/>
      <c r="B48" s="3463"/>
      <c r="C48" s="1002" t="s">
        <v>128</v>
      </c>
      <c r="D48" s="3495" t="s">
        <v>77</v>
      </c>
      <c r="E48" s="3496"/>
      <c r="F48" s="3494" t="s">
        <v>1106</v>
      </c>
      <c r="G48" s="3494"/>
      <c r="H48" s="2179" t="s">
        <v>1107</v>
      </c>
      <c r="I48" s="2179" t="s">
        <v>2034</v>
      </c>
      <c r="J48" s="2176"/>
      <c r="K48" s="1836"/>
      <c r="L48" s="317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</row>
    <row r="49" spans="1:27" s="11" customFormat="1" ht="66" customHeight="1">
      <c r="A49" s="3463"/>
      <c r="B49" s="3463"/>
      <c r="C49" s="1000" t="s">
        <v>1105</v>
      </c>
      <c r="D49" s="3481" t="s">
        <v>80</v>
      </c>
      <c r="E49" s="3482"/>
      <c r="F49" s="3497" t="s">
        <v>1105</v>
      </c>
      <c r="G49" s="3498"/>
      <c r="H49" s="3498"/>
      <c r="I49" s="3499"/>
      <c r="J49" s="2177"/>
      <c r="K49" s="1837"/>
      <c r="L49" s="317"/>
      <c r="M49" s="138"/>
      <c r="N49" s="138"/>
      <c r="O49" s="138"/>
      <c r="P49" s="138"/>
      <c r="Q49" s="138"/>
      <c r="R49" s="2174"/>
      <c r="S49" s="2174"/>
      <c r="T49" s="2174"/>
      <c r="U49" s="138"/>
      <c r="V49" s="138"/>
      <c r="W49" s="138"/>
      <c r="X49" s="138"/>
    </row>
    <row r="50" spans="1:27" s="11" customFormat="1" ht="51" customHeight="1">
      <c r="A50" s="326" t="s">
        <v>209</v>
      </c>
      <c r="B50" s="290" t="s">
        <v>207</v>
      </c>
      <c r="C50" s="1005">
        <f>'Погонаж база'!H15*(1+скидки_наценки!$B$30)*скидки_наценки!$D$21*скидки_наценки!$F$21/скидки_наценки!$B$4</f>
        <v>2580</v>
      </c>
      <c r="D50" s="3485">
        <f>'Погонаж база'!AD15*(1+скидки_наценки!$B$30)*скидки_наценки!$D$21*скидки_наценки!$F$21/скидки_наценки!$B$4</f>
        <v>2530</v>
      </c>
      <c r="E50" s="3486" t="e">
        <f>'Погонаж база'!#REF!*скидки_наценки!$D$13*скидки_наценки!$F$13/скидки_наценки!$B$4</f>
        <v>#REF!</v>
      </c>
      <c r="F50" s="3487">
        <f>'Погонаж база'!AM15*(1+скидки_наценки!$B$30)*скидки_наценки!$D$21*скидки_наценки!$F$21/скидки_наценки!$B$4</f>
        <v>3380</v>
      </c>
      <c r="G50" s="3487" t="e">
        <f>'Погонаж база'!#REF!*скидки_наценки!$D$13*скидки_наценки!$F$13/скидки_наценки!$B$4</f>
        <v>#REF!</v>
      </c>
      <c r="H50" s="2180">
        <f>'Погонаж база'!AM15*(1+скидки_наценки!$B$30)*скидки_наценки!$D$21*скидки_наценки!$F$21/скидки_наценки!$B$4*2</f>
        <v>6760</v>
      </c>
      <c r="I50" s="2180">
        <f>F50*0.5</f>
        <v>1690</v>
      </c>
      <c r="J50" s="2178"/>
      <c r="K50" s="331"/>
      <c r="L50" s="317"/>
      <c r="M50" s="138"/>
      <c r="N50" s="138"/>
      <c r="O50" s="138"/>
      <c r="P50" s="138"/>
      <c r="Q50" s="138"/>
      <c r="R50" s="2174"/>
      <c r="S50" s="2174"/>
      <c r="T50" s="2174"/>
      <c r="U50" s="138"/>
      <c r="V50" s="138"/>
      <c r="W50" s="138"/>
      <c r="X50" s="138"/>
    </row>
    <row r="51" spans="1:27" s="11" customFormat="1" ht="10.5" customHeight="1">
      <c r="J51" s="2174"/>
      <c r="K51" s="317"/>
      <c r="L51" s="317"/>
      <c r="M51" s="138"/>
      <c r="N51" s="138"/>
      <c r="O51" s="138"/>
      <c r="P51" s="138"/>
      <c r="Q51" s="138"/>
      <c r="R51" s="2174"/>
      <c r="S51" s="2174"/>
      <c r="T51" s="2174"/>
      <c r="U51" s="138"/>
      <c r="V51" s="138"/>
      <c r="W51" s="138"/>
      <c r="X51" s="138"/>
    </row>
    <row r="52" spans="1:27" s="11" customFormat="1" ht="15" customHeight="1">
      <c r="A52" s="1421" t="s">
        <v>19</v>
      </c>
      <c r="B52" s="1373"/>
      <c r="J52" s="712"/>
      <c r="K52" s="319"/>
      <c r="L52" s="319"/>
      <c r="M52" s="62"/>
      <c r="N52" s="62"/>
      <c r="O52" s="62"/>
      <c r="P52" s="62"/>
      <c r="Q52" s="62"/>
      <c r="R52" s="319"/>
      <c r="S52" s="2175"/>
      <c r="T52" s="2175"/>
      <c r="U52" s="166"/>
      <c r="V52" s="166"/>
      <c r="W52" s="166"/>
      <c r="X52" s="61"/>
      <c r="Y52" s="61"/>
    </row>
    <row r="53" spans="1:27" s="11" customFormat="1" ht="73.5" customHeight="1">
      <c r="A53" s="3500" t="s">
        <v>1576</v>
      </c>
      <c r="B53" s="3501"/>
      <c r="C53" s="1003">
        <f>IFERROR(#REF!/(1-#REF!)*#REF!*скидки_наценки!$D$13*скидки_наценки!$F$13,0)</f>
        <v>0</v>
      </c>
      <c r="D53" s="3485">
        <f>J18</f>
        <v>0.01</v>
      </c>
      <c r="E53" s="3488" t="e">
        <f>'Полотна база'!#REF!*скидки_наценки!$D$13*скидки_наценки!$F$13/скидки_наценки!$B$4</f>
        <v>#REF!</v>
      </c>
      <c r="F53" s="1835"/>
      <c r="G53" s="1328">
        <f>IFERROR(#REF!/(1-#REF!)*#REF!*скидки_наценки!$D$13*скидки_наценки!$F$13,0)</f>
        <v>0</v>
      </c>
      <c r="H53" s="3489"/>
      <c r="I53" s="3489"/>
      <c r="J53" s="3489"/>
      <c r="K53" s="331"/>
      <c r="L53" s="319"/>
    </row>
    <row r="54" spans="1:27" s="137" customFormat="1" ht="28.5" hidden="1" customHeight="1">
      <c r="A54" s="3461"/>
      <c r="B54" s="3462"/>
      <c r="C54" s="1004">
        <f>IFERROR(#REF!/(1-#REF!)*#REF!*скидки_наценки!$D$13*скидки_наценки!$F$13,0)</f>
        <v>0</v>
      </c>
      <c r="D54" s="3483" t="e">
        <f>K19</f>
        <v>#REF!</v>
      </c>
      <c r="E54" s="3484" t="e">
        <f>'Полотна база'!#REF!*скидки_наценки!$D$13*скидки_наценки!$F$13/скидки_наценки!$B$4</f>
        <v>#REF!</v>
      </c>
      <c r="F54" s="3483" t="e">
        <f>N19</f>
        <v>#REF!</v>
      </c>
      <c r="G54" s="3484" t="e">
        <f>'Полотна база'!#REF!*скидки_наценки!$D$13*скидки_наценки!$F$13/скидки_наценки!$B$4</f>
        <v>#REF!</v>
      </c>
      <c r="H54" s="3490">
        <f>IFERROR(#REF!/(1-#REF!)*#REF!*скидки_наценки!$D$13*скидки_наценки!$F$13,0)</f>
        <v>0</v>
      </c>
      <c r="I54" s="3491"/>
      <c r="J54" s="3492"/>
      <c r="K54" s="318"/>
      <c r="L54" s="214"/>
    </row>
    <row r="55" spans="1:27" s="137" customFormat="1" ht="32.25" customHeight="1">
      <c r="A55" s="266" t="s">
        <v>2035</v>
      </c>
      <c r="B55" s="265"/>
      <c r="C55" s="265"/>
      <c r="D55" s="265"/>
      <c r="E55" s="265"/>
      <c r="G55" s="265"/>
      <c r="K55" s="330"/>
      <c r="X55" s="262"/>
      <c r="Y55" s="262"/>
    </row>
    <row r="56" spans="1:27" s="137" customFormat="1" ht="18" customHeight="1">
      <c r="B56" s="241"/>
      <c r="C56" s="241"/>
      <c r="D56" s="241"/>
      <c r="E56" s="241"/>
      <c r="F56" s="241"/>
      <c r="S56" s="241"/>
    </row>
    <row r="57" spans="1:27" s="137" customFormat="1" ht="18" customHeight="1">
      <c r="S57" s="140"/>
    </row>
    <row r="58" spans="1:27" s="137" customFormat="1" ht="18" customHeight="1">
      <c r="A58" s="228"/>
      <c r="G58" s="140"/>
      <c r="J58" s="140"/>
      <c r="L58" s="140"/>
      <c r="M58" s="140"/>
      <c r="N58" s="140"/>
      <c r="O58" s="140"/>
      <c r="P58" s="140"/>
      <c r="Q58" s="140"/>
      <c r="S58" s="140"/>
    </row>
    <row r="59" spans="1:27" s="137" customFormat="1" ht="19.5" customHeight="1"/>
    <row r="60" spans="1:27" s="137" customFormat="1" ht="18" customHeight="1"/>
    <row r="61" spans="1:27" s="214" customFormat="1" ht="17.25" customHeight="1">
      <c r="A61" s="213"/>
      <c r="B61" s="293"/>
      <c r="C61" s="217"/>
      <c r="D61" s="218"/>
      <c r="E61" s="218"/>
      <c r="F61" s="218"/>
      <c r="G61" s="218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X61" s="211"/>
    </row>
    <row r="62" spans="1:27" s="11" customFormat="1" ht="17.25" customHeight="1">
      <c r="A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X62" s="61"/>
      <c r="Y62" s="61"/>
      <c r="Z62" s="62"/>
      <c r="AA62" s="62"/>
    </row>
    <row r="63" spans="1:27" s="71" customFormat="1"/>
    <row r="64" spans="1:27" s="71" customFormat="1"/>
    <row r="65" s="71" customFormat="1"/>
    <row r="66" s="71" customFormat="1"/>
    <row r="67" s="71" customFormat="1"/>
    <row r="68" s="71" customFormat="1"/>
    <row r="69" s="71" customFormat="1"/>
    <row r="70" s="71" customFormat="1"/>
    <row r="71" s="71" customFormat="1"/>
    <row r="72" s="71" customFormat="1"/>
    <row r="73" s="71" customFormat="1"/>
    <row r="74" s="71" customFormat="1"/>
    <row r="75" s="71" customFormat="1"/>
    <row r="76" s="71" customFormat="1"/>
    <row r="77" s="71" customFormat="1"/>
    <row r="78" s="71" customFormat="1"/>
    <row r="79" s="71" customFormat="1"/>
    <row r="80" s="71" customFormat="1"/>
    <row r="81" s="71" customFormat="1"/>
    <row r="82" s="71" customFormat="1"/>
    <row r="83" s="71" customFormat="1"/>
    <row r="84" s="71" customFormat="1"/>
    <row r="85" s="71" customFormat="1"/>
    <row r="86" s="71" customFormat="1"/>
    <row r="87" s="71" customFormat="1"/>
    <row r="88" s="71" customFormat="1"/>
    <row r="89" s="71" customFormat="1"/>
    <row r="90" s="71" customFormat="1"/>
    <row r="91" s="71" customFormat="1"/>
    <row r="92" s="71" customFormat="1"/>
    <row r="93" s="71" customFormat="1"/>
    <row r="94" s="71" customFormat="1"/>
    <row r="95" s="71" customFormat="1"/>
    <row r="96" s="71" customFormat="1"/>
    <row r="97" s="71" customFormat="1"/>
    <row r="98" s="71" customFormat="1"/>
    <row r="99" s="71" customFormat="1"/>
    <row r="100" s="71" customFormat="1"/>
    <row r="101" s="71" customFormat="1"/>
    <row r="102" s="71" customFormat="1"/>
    <row r="103" s="71" customFormat="1"/>
    <row r="104" s="71" customFormat="1"/>
    <row r="105" s="71" customFormat="1"/>
    <row r="106" s="71" customFormat="1"/>
    <row r="107" s="71" customFormat="1"/>
    <row r="108" s="71" customFormat="1"/>
    <row r="109" s="71" customFormat="1"/>
    <row r="110" s="71" customFormat="1"/>
    <row r="111" s="71" customFormat="1"/>
    <row r="112" s="71" customFormat="1"/>
    <row r="113" s="71" customFormat="1"/>
    <row r="114" s="71" customFormat="1"/>
    <row r="115" s="71" customFormat="1"/>
    <row r="116" s="71" customFormat="1"/>
    <row r="117" s="71" customFormat="1"/>
    <row r="118" s="71" customFormat="1"/>
    <row r="119" s="71" customFormat="1"/>
    <row r="120" s="71" customFormat="1"/>
    <row r="121" s="71" customFormat="1"/>
    <row r="122" s="71" customFormat="1"/>
    <row r="123" s="71" customFormat="1"/>
    <row r="124" s="71" customFormat="1"/>
    <row r="125" s="71" customFormat="1"/>
    <row r="126" s="71" customFormat="1"/>
    <row r="127" s="71" customFormat="1"/>
    <row r="128" s="71" customFormat="1"/>
    <row r="129" s="71" customFormat="1"/>
    <row r="130" s="71" customFormat="1"/>
    <row r="131" s="71" customFormat="1"/>
    <row r="132" s="71" customFormat="1"/>
    <row r="133" s="71" customFormat="1"/>
    <row r="134" s="71" customFormat="1"/>
    <row r="135" s="71" customFormat="1"/>
    <row r="136" s="71" customFormat="1"/>
    <row r="137" s="71" customFormat="1"/>
    <row r="138" s="71" customFormat="1"/>
    <row r="139" s="71" customFormat="1"/>
    <row r="140" s="71" customFormat="1"/>
    <row r="141" s="71" customFormat="1"/>
    <row r="142" s="71" customFormat="1"/>
    <row r="143" s="71" customFormat="1"/>
    <row r="144" s="71" customFormat="1"/>
    <row r="145" s="71" customFormat="1"/>
    <row r="146" s="71" customFormat="1"/>
    <row r="147" s="71" customFormat="1"/>
    <row r="148" s="71" customFormat="1"/>
    <row r="149" s="71" customFormat="1"/>
    <row r="150" s="71" customFormat="1"/>
    <row r="151" s="71" customFormat="1"/>
    <row r="152" s="71" customFormat="1"/>
    <row r="153" s="71" customFormat="1"/>
    <row r="154" s="71" customFormat="1"/>
    <row r="155" s="71" customFormat="1"/>
    <row r="156" s="71" customFormat="1"/>
    <row r="157" s="71" customFormat="1"/>
    <row r="158" s="71" customFormat="1"/>
    <row r="159" s="71" customFormat="1"/>
    <row r="160" s="71" customFormat="1"/>
    <row r="161" s="71" customFormat="1"/>
    <row r="162" s="71" customFormat="1"/>
    <row r="163" s="71" customFormat="1"/>
    <row r="164" s="71" customFormat="1"/>
    <row r="165" s="71" customFormat="1"/>
    <row r="166" s="71" customFormat="1"/>
    <row r="167" s="71" customFormat="1"/>
    <row r="168" s="71" customFormat="1"/>
    <row r="169" s="71" customFormat="1"/>
    <row r="170" s="71" customFormat="1"/>
    <row r="171" s="71" customFormat="1"/>
    <row r="172" s="71" customFormat="1"/>
    <row r="173" s="71" customFormat="1"/>
    <row r="174" s="71" customFormat="1"/>
    <row r="175" s="71" customFormat="1"/>
    <row r="176" s="71" customFormat="1"/>
    <row r="177" s="71" customFormat="1"/>
    <row r="178" s="71" customFormat="1"/>
    <row r="179" s="71" customFormat="1"/>
    <row r="180" s="71" customFormat="1"/>
    <row r="181" s="71" customFormat="1"/>
    <row r="182" s="71" customFormat="1"/>
    <row r="183" s="71" customFormat="1"/>
    <row r="184" s="71" customFormat="1"/>
    <row r="185" s="71" customFormat="1"/>
    <row r="186" s="71" customFormat="1"/>
    <row r="187" s="71" customFormat="1"/>
    <row r="188" s="71" customFormat="1"/>
    <row r="189" s="71" customFormat="1"/>
    <row r="190" s="71" customFormat="1"/>
    <row r="191" s="71" customFormat="1"/>
    <row r="192" s="71" customFormat="1"/>
    <row r="193" s="71" customFormat="1"/>
    <row r="194" s="71" customFormat="1"/>
    <row r="195" s="71" customFormat="1"/>
    <row r="196" s="71" customFormat="1"/>
    <row r="197" s="71" customFormat="1"/>
    <row r="198" s="71" customFormat="1"/>
    <row r="199" s="71" customFormat="1"/>
    <row r="200" s="71" customFormat="1"/>
    <row r="201" s="71" customFormat="1"/>
    <row r="202" s="71" customFormat="1"/>
    <row r="203" s="71" customFormat="1"/>
    <row r="204" s="71" customFormat="1"/>
    <row r="205" s="71" customFormat="1"/>
    <row r="206" s="71" customFormat="1"/>
    <row r="207" s="71" customFormat="1"/>
    <row r="208" s="71" customFormat="1"/>
    <row r="209" spans="1:1" s="71" customFormat="1"/>
    <row r="210" spans="1:1" s="71" customFormat="1"/>
    <row r="211" spans="1:1" s="71" customFormat="1"/>
    <row r="212" spans="1:1" s="71" customFormat="1">
      <c r="A212" s="73"/>
    </row>
  </sheetData>
  <mergeCells count="74">
    <mergeCell ref="G30:L30"/>
    <mergeCell ref="H31:J31"/>
    <mergeCell ref="H32:J32"/>
    <mergeCell ref="D29:F29"/>
    <mergeCell ref="R4:W4"/>
    <mergeCell ref="U9:V9"/>
    <mergeCell ref="U5:W7"/>
    <mergeCell ref="U10:V10"/>
    <mergeCell ref="O9:O10"/>
    <mergeCell ref="M30:M33"/>
    <mergeCell ref="N32:N33"/>
    <mergeCell ref="O32:O33"/>
    <mergeCell ref="H33:J33"/>
    <mergeCell ref="D43:H43"/>
    <mergeCell ref="D45:E45"/>
    <mergeCell ref="D44:E44"/>
    <mergeCell ref="F44:I44"/>
    <mergeCell ref="F45:I45"/>
    <mergeCell ref="F46:I47"/>
    <mergeCell ref="F48:G48"/>
    <mergeCell ref="D48:E48"/>
    <mergeCell ref="F49:I49"/>
    <mergeCell ref="A53:B53"/>
    <mergeCell ref="D54:E54"/>
    <mergeCell ref="D50:E50"/>
    <mergeCell ref="F50:G50"/>
    <mergeCell ref="D53:E53"/>
    <mergeCell ref="H53:J53"/>
    <mergeCell ref="H54:J54"/>
    <mergeCell ref="F54:G54"/>
    <mergeCell ref="A54:B54"/>
    <mergeCell ref="A30:B35"/>
    <mergeCell ref="A18:B18"/>
    <mergeCell ref="A19:B19"/>
    <mergeCell ref="A44:B49"/>
    <mergeCell ref="A29:C29"/>
    <mergeCell ref="A37:A40"/>
    <mergeCell ref="A43:C43"/>
    <mergeCell ref="C30:F30"/>
    <mergeCell ref="D31:F31"/>
    <mergeCell ref="D32:F32"/>
    <mergeCell ref="D33:F33"/>
    <mergeCell ref="C45:C46"/>
    <mergeCell ref="D46:E47"/>
    <mergeCell ref="D35:F35"/>
    <mergeCell ref="D49:E49"/>
    <mergeCell ref="A3:D3"/>
    <mergeCell ref="E3:J3"/>
    <mergeCell ref="A4:B10"/>
    <mergeCell ref="C5:C6"/>
    <mergeCell ref="C9:C10"/>
    <mergeCell ref="E7:I7"/>
    <mergeCell ref="D6:I6"/>
    <mergeCell ref="D5:Q5"/>
    <mergeCell ref="J6:Q6"/>
    <mergeCell ref="D4:Q4"/>
    <mergeCell ref="D9:D10"/>
    <mergeCell ref="Q9:Q10"/>
    <mergeCell ref="E9:F10"/>
    <mergeCell ref="G9:I10"/>
    <mergeCell ref="M9:M10"/>
    <mergeCell ref="N9:N10"/>
    <mergeCell ref="Y5:Y7"/>
    <mergeCell ref="A12:A15"/>
    <mergeCell ref="X5:X6"/>
    <mergeCell ref="X9:X10"/>
    <mergeCell ref="Y9:Y10"/>
    <mergeCell ref="R5:T7"/>
    <mergeCell ref="R9:S9"/>
    <mergeCell ref="R10:S10"/>
    <mergeCell ref="P9:P10"/>
    <mergeCell ref="L9:L10"/>
    <mergeCell ref="J9:J10"/>
    <mergeCell ref="K9:K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2" firstPageNumber="38" orientation="landscape" useFirstPageNumber="1" r:id="rId1"/>
  <headerFooter>
    <oddFooter>&amp;L&amp;P&amp;R&amp;24&amp;G</oddFooter>
  </headerFooter>
  <rowBreaks count="1" manualBreakCount="1">
    <brk id="27" max="24" man="1"/>
  </row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92D050"/>
  </sheetPr>
  <dimension ref="A1:J184"/>
  <sheetViews>
    <sheetView view="pageBreakPreview" zoomScale="80" zoomScaleNormal="55" zoomScaleSheetLayoutView="80" zoomScalePageLayoutView="7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O31" sqref="O31"/>
    </sheetView>
  </sheetViews>
  <sheetFormatPr defaultColWidth="9.140625" defaultRowHeight="12.75"/>
  <cols>
    <col min="1" max="2" width="18.7109375" style="2516" customWidth="1"/>
    <col min="3" max="3" width="18.42578125" style="2516" customWidth="1"/>
    <col min="4" max="4" width="13.85546875" style="2516" hidden="1" customWidth="1"/>
    <col min="5" max="5" width="18.7109375" style="2516" customWidth="1"/>
    <col min="6" max="6" width="19.140625" style="2516" bestFit="1" customWidth="1"/>
    <col min="7" max="7" width="19.140625" style="2516" customWidth="1"/>
    <col min="8" max="8" width="21.28515625" style="2516" bestFit="1" customWidth="1"/>
    <col min="9" max="9" width="14.140625" style="2516" customWidth="1"/>
    <col min="10" max="10" width="9.140625" style="2516"/>
    <col min="11" max="11" width="9.140625" style="2516" customWidth="1"/>
    <col min="12" max="16384" width="9.140625" style="2516"/>
  </cols>
  <sheetData>
    <row r="1" spans="1:10" s="68" customFormat="1" ht="15.95" customHeight="1">
      <c r="A1" s="69"/>
      <c r="B1" s="2391" t="s">
        <v>307</v>
      </c>
      <c r="C1" s="24"/>
      <c r="D1" s="24"/>
      <c r="E1" s="70"/>
      <c r="F1" s="70"/>
      <c r="G1" s="70"/>
    </row>
    <row r="3" spans="1:10" s="11" customFormat="1" ht="17.25" customHeight="1" thickBot="1">
      <c r="A3" s="3524" t="s">
        <v>998</v>
      </c>
      <c r="B3" s="3524"/>
      <c r="C3" s="3524"/>
      <c r="D3" s="2394"/>
      <c r="E3" s="137"/>
      <c r="F3" s="137"/>
      <c r="G3" s="137"/>
      <c r="H3" s="62"/>
    </row>
    <row r="4" spans="1:10" s="11" customFormat="1" ht="15.75" thickBot="1">
      <c r="A4" s="3533" t="s">
        <v>38</v>
      </c>
      <c r="B4" s="3533"/>
      <c r="C4" s="3533"/>
      <c r="D4" s="3528" t="s">
        <v>1162</v>
      </c>
      <c r="E4" s="3523" t="s">
        <v>1478</v>
      </c>
      <c r="F4" s="3523"/>
      <c r="G4" s="3523"/>
      <c r="H4" s="3523"/>
      <c r="I4" s="3523"/>
    </row>
    <row r="5" spans="1:10" s="137" customFormat="1" ht="32.25" customHeight="1">
      <c r="A5" s="3533"/>
      <c r="B5" s="3533"/>
      <c r="C5" s="3533"/>
      <c r="D5" s="3529"/>
      <c r="E5" s="1544" t="s">
        <v>149</v>
      </c>
      <c r="F5" s="1544" t="s">
        <v>264</v>
      </c>
      <c r="G5" s="1544" t="s">
        <v>2181</v>
      </c>
      <c r="H5" s="1544" t="s">
        <v>1165</v>
      </c>
      <c r="I5" s="1544" t="s">
        <v>1490</v>
      </c>
      <c r="J5" s="2510"/>
    </row>
    <row r="6" spans="1:10" s="11" customFormat="1" ht="33" customHeight="1">
      <c r="A6" s="3525">
        <v>2000</v>
      </c>
      <c r="B6" s="3526"/>
      <c r="C6" s="3527"/>
      <c r="D6" s="2392"/>
      <c r="E6" s="1333">
        <f>'Ал погонаж база '!D14*(1+скидки_наценки!$B$31)*скидки_наценки!$D$19*скидки_наценки!$F$19/скидки_наценки!$B$4</f>
        <v>13850</v>
      </c>
      <c r="F6" s="1333">
        <f>'Ал погонаж база '!D15*(1+скидки_наценки!$B$31)*скидки_наценки!$D$19*скидки_наценки!$F$19/скидки_наценки!$B$4</f>
        <v>15240</v>
      </c>
      <c r="G6" s="1333">
        <f>'Ал погонаж база '!D16*(1+скидки_наценки!$B$31)*скидки_наценки!$D$19*скидки_наценки!$F$19/скидки_наценки!$B$4</f>
        <v>16620</v>
      </c>
      <c r="H6" s="1333">
        <f>'Ал погонаж база '!D17*(1+скидки_наценки!$B$31)*скидки_наценки!$D$19*скидки_наценки!$F$19/скидки_наценки!$B$4</f>
        <v>20090</v>
      </c>
      <c r="I6" s="1333">
        <f>'Ал погонаж база '!D18*(1+скидки_наценки!$B$31)*скидки_наценки!$D$19*скидки_наценки!$F$19/скидки_наценки!$B$4</f>
        <v>24110</v>
      </c>
      <c r="J6" s="2511"/>
    </row>
    <row r="7" spans="1:10" s="11" customFormat="1" ht="33" customHeight="1">
      <c r="A7" s="3530">
        <v>2100</v>
      </c>
      <c r="B7" s="3531"/>
      <c r="C7" s="3532"/>
      <c r="D7" s="1056"/>
      <c r="E7" s="1334">
        <f>$E$6*(1+D7)</f>
        <v>13850</v>
      </c>
      <c r="F7" s="1334">
        <f>$F$6*(1+D7)</f>
        <v>15240</v>
      </c>
      <c r="G7" s="1334">
        <f>$G$6*(1+D7)</f>
        <v>16620</v>
      </c>
      <c r="H7" s="1334">
        <f>$H$6*(1+D7)</f>
        <v>20090</v>
      </c>
      <c r="I7" s="1334">
        <f>$I$6*(1+D7)</f>
        <v>24110</v>
      </c>
      <c r="J7" s="2512"/>
    </row>
    <row r="8" spans="1:10" s="11" customFormat="1" ht="33" customHeight="1">
      <c r="A8" s="3525">
        <v>2200</v>
      </c>
      <c r="B8" s="3526"/>
      <c r="C8" s="3527"/>
      <c r="D8" s="1057">
        <v>0.15</v>
      </c>
      <c r="E8" s="1333">
        <f>E6*(1+$D$8)</f>
        <v>15927.499999999998</v>
      </c>
      <c r="F8" s="1333">
        <f t="shared" ref="F8:I8" si="0">F6*(1+$D$8)</f>
        <v>17526</v>
      </c>
      <c r="G8" s="1333">
        <f t="shared" si="0"/>
        <v>19113</v>
      </c>
      <c r="H8" s="1333">
        <f t="shared" si="0"/>
        <v>23103.5</v>
      </c>
      <c r="I8" s="1333">
        <f t="shared" si="0"/>
        <v>27726.499999999996</v>
      </c>
      <c r="J8" s="2513"/>
    </row>
    <row r="9" spans="1:10" s="11" customFormat="1" ht="33" customHeight="1">
      <c r="A9" s="3530">
        <v>2300</v>
      </c>
      <c r="B9" s="3531"/>
      <c r="C9" s="3532"/>
      <c r="D9" s="1056">
        <v>0.15</v>
      </c>
      <c r="E9" s="1334">
        <f>E6*(1+$D$9)</f>
        <v>15927.499999999998</v>
      </c>
      <c r="F9" s="1334">
        <f t="shared" ref="F9:I9" si="1">F8</f>
        <v>17526</v>
      </c>
      <c r="G9" s="1334">
        <f t="shared" si="1"/>
        <v>19113</v>
      </c>
      <c r="H9" s="1334">
        <f t="shared" si="1"/>
        <v>23103.5</v>
      </c>
      <c r="I9" s="1334">
        <f t="shared" si="1"/>
        <v>27726.499999999996</v>
      </c>
      <c r="J9" s="2513"/>
    </row>
    <row r="10" spans="1:10" s="11" customFormat="1" ht="33" customHeight="1">
      <c r="A10" s="3525">
        <v>2400</v>
      </c>
      <c r="B10" s="3526"/>
      <c r="C10" s="3527"/>
      <c r="D10" s="1057">
        <v>0.35</v>
      </c>
      <c r="E10" s="1333">
        <f>E6*(1+$D$10)</f>
        <v>18697.5</v>
      </c>
      <c r="F10" s="1333">
        <f t="shared" ref="F10:I10" si="2">F6*(1+$D$10)</f>
        <v>20574</v>
      </c>
      <c r="G10" s="1333">
        <f t="shared" si="2"/>
        <v>22437</v>
      </c>
      <c r="H10" s="1333">
        <f t="shared" si="2"/>
        <v>27121.5</v>
      </c>
      <c r="I10" s="1333">
        <f t="shared" si="2"/>
        <v>32548.500000000004</v>
      </c>
      <c r="J10" s="2514"/>
    </row>
    <row r="11" spans="1:10" s="11" customFormat="1" ht="33" customHeight="1">
      <c r="A11" s="3530">
        <v>2500</v>
      </c>
      <c r="B11" s="3531"/>
      <c r="C11" s="3532"/>
      <c r="D11" s="1056">
        <v>0.35</v>
      </c>
      <c r="E11" s="1334">
        <f>E6*(1+$D$11)</f>
        <v>18697.5</v>
      </c>
      <c r="F11" s="1334">
        <f t="shared" ref="F11:I11" si="3">F6*(1+$D$11)</f>
        <v>20574</v>
      </c>
      <c r="G11" s="1334">
        <f t="shared" si="3"/>
        <v>22437</v>
      </c>
      <c r="H11" s="1334">
        <f t="shared" si="3"/>
        <v>27121.5</v>
      </c>
      <c r="I11" s="1334">
        <f t="shared" si="3"/>
        <v>32548.500000000004</v>
      </c>
      <c r="J11" s="2514"/>
    </row>
    <row r="12" spans="1:10" s="11" customFormat="1" ht="33" customHeight="1">
      <c r="A12" s="3525">
        <v>2600</v>
      </c>
      <c r="B12" s="3526"/>
      <c r="C12" s="3527"/>
      <c r="D12" s="1057">
        <v>0.5</v>
      </c>
      <c r="E12" s="1333">
        <f>E6*(1+$D$12)</f>
        <v>20775</v>
      </c>
      <c r="F12" s="1333">
        <f t="shared" ref="F12:I12" si="4">F6*(1+$D$12)</f>
        <v>22860</v>
      </c>
      <c r="G12" s="1333">
        <f t="shared" si="4"/>
        <v>24930</v>
      </c>
      <c r="H12" s="1333">
        <f t="shared" si="4"/>
        <v>30135</v>
      </c>
      <c r="I12" s="1333">
        <f t="shared" si="4"/>
        <v>36165</v>
      </c>
      <c r="J12" s="319"/>
    </row>
    <row r="13" spans="1:10" s="11" customFormat="1" ht="33" customHeight="1">
      <c r="A13" s="3530">
        <v>2700</v>
      </c>
      <c r="B13" s="3531"/>
      <c r="C13" s="3532"/>
      <c r="D13" s="1056">
        <v>0.5</v>
      </c>
      <c r="E13" s="1334">
        <f>E6*(1+$D$13)</f>
        <v>20775</v>
      </c>
      <c r="F13" s="1334">
        <f t="shared" ref="F13:I13" si="5">F6*(1+$D$13)</f>
        <v>22860</v>
      </c>
      <c r="G13" s="1334">
        <f t="shared" si="5"/>
        <v>24930</v>
      </c>
      <c r="H13" s="1334">
        <f t="shared" si="5"/>
        <v>30135</v>
      </c>
      <c r="I13" s="1334">
        <f t="shared" si="5"/>
        <v>36165</v>
      </c>
      <c r="J13" s="319"/>
    </row>
    <row r="14" spans="1:10" s="11" customFormat="1" ht="33" customHeight="1">
      <c r="A14" s="3525">
        <v>2800</v>
      </c>
      <c r="B14" s="3526"/>
      <c r="C14" s="3527"/>
      <c r="D14" s="1057">
        <v>0.7</v>
      </c>
      <c r="E14" s="1333">
        <f>E6*(1+$D$14)</f>
        <v>23545</v>
      </c>
      <c r="F14" s="1333">
        <f t="shared" ref="F14:I14" si="6">F6*(1+$D$14)</f>
        <v>25908</v>
      </c>
      <c r="G14" s="1333">
        <f t="shared" si="6"/>
        <v>28254</v>
      </c>
      <c r="H14" s="1333">
        <f t="shared" si="6"/>
        <v>34153</v>
      </c>
      <c r="I14" s="1333">
        <f t="shared" si="6"/>
        <v>40987</v>
      </c>
      <c r="J14" s="2512"/>
    </row>
    <row r="15" spans="1:10" s="11" customFormat="1" ht="33" customHeight="1">
      <c r="A15" s="3530">
        <v>2900</v>
      </c>
      <c r="B15" s="3531"/>
      <c r="C15" s="3532"/>
      <c r="D15" s="1056">
        <v>0.7</v>
      </c>
      <c r="E15" s="1334">
        <f>E6*(1+$D$15)</f>
        <v>23545</v>
      </c>
      <c r="F15" s="1334">
        <f t="shared" ref="F15:I15" si="7">F6*(1+$D$15)</f>
        <v>25908</v>
      </c>
      <c r="G15" s="1334">
        <f t="shared" si="7"/>
        <v>28254</v>
      </c>
      <c r="H15" s="1334">
        <f t="shared" si="7"/>
        <v>34153</v>
      </c>
      <c r="I15" s="1334">
        <f t="shared" si="7"/>
        <v>40987</v>
      </c>
      <c r="J15" s="2512"/>
    </row>
    <row r="16" spans="1:10" s="11" customFormat="1" ht="33" customHeight="1">
      <c r="A16" s="3525">
        <v>3000</v>
      </c>
      <c r="B16" s="3526"/>
      <c r="C16" s="3527"/>
      <c r="D16" s="1057">
        <v>1</v>
      </c>
      <c r="E16" s="1333">
        <f>E6*(1+$D$16)</f>
        <v>27700</v>
      </c>
      <c r="F16" s="1333">
        <f t="shared" ref="F16:I16" si="8">F6*(1+$D$16)</f>
        <v>30480</v>
      </c>
      <c r="G16" s="1333">
        <f t="shared" si="8"/>
        <v>33240</v>
      </c>
      <c r="H16" s="1333">
        <f t="shared" si="8"/>
        <v>40180</v>
      </c>
      <c r="I16" s="1333">
        <f t="shared" si="8"/>
        <v>48220</v>
      </c>
      <c r="J16" s="319"/>
    </row>
    <row r="17" spans="1:10" s="11" customFormat="1" ht="17.25" customHeight="1">
      <c r="A17" s="137"/>
      <c r="B17" s="223"/>
      <c r="C17" s="137"/>
      <c r="D17" s="137"/>
      <c r="E17" s="137"/>
      <c r="F17" s="137"/>
      <c r="G17" s="137"/>
      <c r="H17" s="62"/>
    </row>
    <row r="18" spans="1:10" s="11" customFormat="1" ht="17.25" customHeight="1">
      <c r="A18" s="2318" t="s">
        <v>2128</v>
      </c>
      <c r="B18" s="223"/>
      <c r="C18" s="137"/>
      <c r="D18" s="137"/>
      <c r="E18" s="137"/>
      <c r="F18" s="137"/>
      <c r="G18" s="137"/>
      <c r="H18" s="62"/>
    </row>
    <row r="19" spans="1:10" s="11" customFormat="1" ht="39" customHeight="1">
      <c r="A19" s="3547" t="s">
        <v>38</v>
      </c>
      <c r="B19" s="3547"/>
      <c r="C19" s="3547"/>
      <c r="D19" s="3548"/>
      <c r="E19" s="3549" t="s">
        <v>1478</v>
      </c>
      <c r="F19" s="3549"/>
      <c r="G19" s="3549"/>
      <c r="H19" s="3549"/>
      <c r="I19" s="3549"/>
    </row>
    <row r="20" spans="1:10" s="11" customFormat="1" ht="39" customHeight="1">
      <c r="A20" s="3547"/>
      <c r="B20" s="3547"/>
      <c r="C20" s="3547"/>
      <c r="D20" s="3548"/>
      <c r="E20" s="2319" t="s">
        <v>149</v>
      </c>
      <c r="F20" s="2319" t="s">
        <v>264</v>
      </c>
      <c r="G20" s="2319" t="s">
        <v>2182</v>
      </c>
      <c r="H20" s="2319" t="s">
        <v>1165</v>
      </c>
      <c r="I20" s="2319" t="s">
        <v>1490</v>
      </c>
    </row>
    <row r="21" spans="1:10" s="11" customFormat="1" ht="39.75" customHeight="1">
      <c r="A21" s="3550" t="s">
        <v>2126</v>
      </c>
      <c r="B21" s="3550"/>
      <c r="C21" s="3550"/>
      <c r="D21" s="2321"/>
      <c r="E21" s="1333">
        <f>'Ал погонаж база '!I14*(1+скидки_наценки!$B$31)*скидки_наценки!$D$19*скидки_наценки!$F$19/скидки_наценки!$B$4</f>
        <v>7900</v>
      </c>
      <c r="F21" s="1333">
        <f>'Ал погонаж база '!I15*(1+скидки_наценки!$B$31)*скидки_наценки!$D$19*скидки_наценки!$F$19/скидки_наценки!$B$4</f>
        <v>8690</v>
      </c>
      <c r="G21" s="1333">
        <f>'Ал погонаж база '!I16*(1+скидки_наценки!$B$31)*скидки_наценки!$D$19*скидки_наценки!$F$19/скидки_наценки!$B$4</f>
        <v>9480</v>
      </c>
      <c r="H21" s="1333">
        <f>'Ал погонаж база '!I17*(1+скидки_наценки!$B$31)*скидки_наценки!$D$19*скидки_наценки!$F$19/скидки_наценки!$B$4</f>
        <v>11460</v>
      </c>
      <c r="I21" s="1333">
        <f>'Ал погонаж база '!I18*(1+скидки_наценки!$B$31)*скидки_наценки!$D$19*скидки_наценки!$F$19/скидки_наценки!$B$4</f>
        <v>13760</v>
      </c>
    </row>
    <row r="22" spans="1:10" s="11" customFormat="1" ht="39.75" customHeight="1">
      <c r="A22" s="3551" t="s">
        <v>2125</v>
      </c>
      <c r="B22" s="3551"/>
      <c r="C22" s="3551"/>
      <c r="D22" s="2320"/>
      <c r="E22" s="1334">
        <f>E21*2</f>
        <v>15800</v>
      </c>
      <c r="F22" s="1334">
        <f t="shared" ref="F22:I22" si="9">F21*2</f>
        <v>17380</v>
      </c>
      <c r="G22" s="1334">
        <f t="shared" si="9"/>
        <v>18960</v>
      </c>
      <c r="H22" s="1334">
        <f t="shared" si="9"/>
        <v>22920</v>
      </c>
      <c r="I22" s="1334">
        <f t="shared" si="9"/>
        <v>27520</v>
      </c>
    </row>
    <row r="23" spans="1:10" s="11" customFormat="1" ht="17.25" customHeight="1">
      <c r="A23" s="137"/>
      <c r="B23" s="223"/>
      <c r="C23" s="137"/>
      <c r="D23" s="137"/>
      <c r="E23" s="137"/>
      <c r="F23" s="137"/>
      <c r="G23" s="137"/>
      <c r="H23" s="137"/>
    </row>
    <row r="24" spans="1:10" s="11" customFormat="1" ht="17.25" customHeight="1">
      <c r="A24" s="1543" t="s">
        <v>2129</v>
      </c>
      <c r="E24" s="1543"/>
      <c r="F24" s="1543"/>
      <c r="G24" s="1543"/>
      <c r="H24" s="1543"/>
      <c r="I24" s="1543"/>
      <c r="J24" s="2515"/>
    </row>
    <row r="25" spans="1:10" s="11" customFormat="1" ht="17.25" customHeight="1">
      <c r="A25" s="3535" t="s">
        <v>1161</v>
      </c>
      <c r="B25" s="3535"/>
      <c r="C25" s="3535"/>
      <c r="D25" s="1547"/>
      <c r="E25" s="3546" t="s">
        <v>1408</v>
      </c>
      <c r="F25" s="3546"/>
      <c r="G25" s="3546"/>
      <c r="H25" s="3546"/>
      <c r="I25" s="3546"/>
    </row>
    <row r="26" spans="1:10" s="71" customFormat="1" ht="30" customHeight="1">
      <c r="A26" s="3535"/>
      <c r="B26" s="3535"/>
      <c r="C26" s="3535"/>
      <c r="D26" s="1548"/>
      <c r="E26" s="1332" t="s">
        <v>149</v>
      </c>
      <c r="F26" s="1332" t="s">
        <v>264</v>
      </c>
      <c r="G26" s="1544" t="str">
        <f>G5</f>
        <v xml:space="preserve"> золото,латунь, медный, антик</v>
      </c>
      <c r="H26" s="1332" t="s">
        <v>907</v>
      </c>
      <c r="I26" s="1332" t="s">
        <v>1489</v>
      </c>
      <c r="J26" s="11"/>
    </row>
    <row r="27" spans="1:10" s="71" customFormat="1" ht="27.95" customHeight="1">
      <c r="A27" s="3536" t="s">
        <v>281</v>
      </c>
      <c r="B27" s="3537"/>
      <c r="C27" s="3538"/>
      <c r="D27" s="1548"/>
      <c r="E27" s="1546">
        <f>'Ал погонаж база '!E14*(1+скидки_наценки!$B$31)*скидки_наценки!$D$13*скидки_наценки!$F$13/скидки_наценки!$B$4</f>
        <v>2750</v>
      </c>
      <c r="F27" s="1546">
        <f>'Ал погонаж база '!E15*(1+скидки_наценки!$B$31)*скидки_наценки!$D$13*скидки_наценки!$F$13/скидки_наценки!$B$4</f>
        <v>3030</v>
      </c>
      <c r="G27" s="1546">
        <f>'Ал погонаж база '!E16*(1+скидки_наценки!$B$31)*скидки_наценки!$D$13*скидки_наценки!$F$13/скидки_наценки!$B$4</f>
        <v>3300</v>
      </c>
      <c r="H27" s="1546">
        <f>'Ал погонаж база '!E17*(1+скидки_наценки!$B$31)*скидки_наценки!$D$13*скидки_наценки!$F$13/скидки_наценки!$B$4</f>
        <v>3990</v>
      </c>
      <c r="I27" s="1546">
        <f>'Ал погонаж база '!E18*(1+скидки_наценки!$B$31)*скидки_наценки!$D$13*скидки_наценки!$F$13/скидки_наценки!$B$4</f>
        <v>4790</v>
      </c>
      <c r="J27" s="11"/>
    </row>
    <row r="28" spans="1:10" s="71" customFormat="1" ht="27.95" customHeight="1">
      <c r="A28" s="3539" t="s">
        <v>1402</v>
      </c>
      <c r="B28" s="3540"/>
      <c r="C28" s="3541"/>
      <c r="D28" s="1548"/>
      <c r="E28" s="2167">
        <f>'Ал погонаж база '!F14*(1+скидки_наценки!$B$31)*скидки_наценки!$D$13*скидки_наценки!$F$13/скидки_наценки!$B$4</f>
        <v>3300</v>
      </c>
      <c r="F28" s="2167">
        <f>'Ал погонаж база '!F15*(1+скидки_наценки!$B$31)*скидки_наценки!$D$13*скидки_наценки!$F$13/скидки_наценки!$B$4</f>
        <v>3630</v>
      </c>
      <c r="G28" s="2167">
        <f>'Ал погонаж база '!F16*(1+скидки_наценки!$B$31)*скидки_наценки!$D$13*скидки_наценки!$F$13/скидки_наценки!$B$4</f>
        <v>3960</v>
      </c>
      <c r="H28" s="2167">
        <f>'Ал погонаж база '!F17*(1+скидки_наценки!$B$31)*скидки_наценки!$D$13*скидки_наценки!$F$13/скидки_наценки!$B$4</f>
        <v>4790</v>
      </c>
      <c r="I28" s="2167">
        <f>'Ал погонаж база '!F18*(1+скидки_наценки!$B$31)*скидки_наценки!$D$13*скидки_наценки!$F$13/скидки_наценки!$B$4</f>
        <v>5750</v>
      </c>
      <c r="J28" s="11"/>
    </row>
    <row r="29" spans="1:10" s="71" customFormat="1" ht="27.95" customHeight="1">
      <c r="A29" s="3542" t="s">
        <v>280</v>
      </c>
      <c r="B29" s="3543"/>
      <c r="C29" s="3544"/>
      <c r="D29" s="1548"/>
      <c r="E29" s="1546">
        <f>'Ал погонаж база '!G14*(1+скидки_наценки!$B$31)*скидки_наценки!$D$13*скидки_наценки!$F$13/скидки_наценки!$B$4</f>
        <v>3900</v>
      </c>
      <c r="F29" s="1546">
        <f>'Ал погонаж база '!G15*(1+скидки_наценки!$B$31)*скидки_наценки!$D$13*скидки_наценки!$F$13/скидки_наценки!$B$4</f>
        <v>4290</v>
      </c>
      <c r="G29" s="1546">
        <f>'Ал погонаж база '!G16*(1+скидки_наценки!$B$31)*скидки_наценки!$D$13*скидки_наценки!$F$13/скидки_наценки!$B$4</f>
        <v>4680</v>
      </c>
      <c r="H29" s="1546">
        <f>'Ал погонаж база '!G17*(1+скидки_наценки!$B$31)*скидки_наценки!$D$13*скидки_наценки!$F$13/скидки_наценки!$B$4</f>
        <v>5660</v>
      </c>
      <c r="I29" s="1546">
        <f>'Ал погонаж база '!G18*(1+скидки_наценки!$B$31)*скидки_наценки!$D$13*скидки_наценки!$F$13/скидки_наценки!$B$4</f>
        <v>6800</v>
      </c>
      <c r="J29" s="11"/>
    </row>
    <row r="30" spans="1:10" s="71" customFormat="1" ht="14.25" customHeight="1">
      <c r="A30" s="1718"/>
      <c r="B30" s="1718"/>
      <c r="C30" s="1718"/>
      <c r="D30" s="94"/>
      <c r="E30" s="384"/>
      <c r="F30" s="384"/>
      <c r="G30" s="384"/>
      <c r="H30" s="384"/>
      <c r="I30" s="384"/>
      <c r="J30" s="384"/>
    </row>
    <row r="31" spans="1:10" s="71" customFormat="1" ht="27.95" customHeight="1">
      <c r="A31" s="3545" t="s">
        <v>2130</v>
      </c>
      <c r="B31" s="3545"/>
      <c r="C31" s="3545"/>
      <c r="D31" s="3545"/>
      <c r="E31" s="3545"/>
      <c r="F31" s="3545"/>
      <c r="G31" s="3545"/>
      <c r="H31" s="3545"/>
      <c r="I31" s="384"/>
      <c r="J31" s="11"/>
    </row>
    <row r="32" spans="1:10" s="71" customFormat="1" ht="27.95" customHeight="1">
      <c r="A32" s="3535" t="s">
        <v>1161</v>
      </c>
      <c r="B32" s="3535"/>
      <c r="C32" s="3535"/>
      <c r="D32" s="1547"/>
      <c r="E32" s="3546" t="s">
        <v>1408</v>
      </c>
      <c r="F32" s="3546"/>
      <c r="G32" s="3546"/>
      <c r="H32" s="3546"/>
      <c r="I32" s="3546"/>
      <c r="J32" s="11"/>
    </row>
    <row r="33" spans="1:10" s="71" customFormat="1" ht="27.95" customHeight="1">
      <c r="A33" s="3535"/>
      <c r="B33" s="3535"/>
      <c r="C33" s="3535"/>
      <c r="D33" s="1548"/>
      <c r="E33" s="1332" t="s">
        <v>149</v>
      </c>
      <c r="F33" s="1332" t="s">
        <v>264</v>
      </c>
      <c r="G33" s="1544" t="str">
        <f>G5</f>
        <v xml:space="preserve"> золото,латунь, медный, антик</v>
      </c>
      <c r="H33" s="1332" t="s">
        <v>907</v>
      </c>
      <c r="I33" s="1332" t="s">
        <v>1489</v>
      </c>
      <c r="J33" s="11"/>
    </row>
    <row r="34" spans="1:10" s="71" customFormat="1" ht="27.95" customHeight="1">
      <c r="A34" s="3542" t="s">
        <v>280</v>
      </c>
      <c r="B34" s="3543"/>
      <c r="C34" s="3544"/>
      <c r="D34" s="1548"/>
      <c r="E34" s="1546">
        <f>'Ал погонаж база '!H14*(1+скидки_наценки!$B$31)*скидки_наценки!$D$13*скидки_наценки!$F$13/скидки_наценки!$B$4</f>
        <v>4500</v>
      </c>
      <c r="F34" s="1546">
        <f>'Ал погонаж база '!H15*(1+скидки_наценки!$B$31)*скидки_наценки!$D$13*скидки_наценки!$F$13/скидки_наценки!$B$4</f>
        <v>4950</v>
      </c>
      <c r="G34" s="1546">
        <f>'Ал погонаж база '!H16*(1+скидки_наценки!$B$31)*скидки_наценки!$D$13*скидки_наценки!$F$13/скидки_наценки!$B$4</f>
        <v>5400</v>
      </c>
      <c r="H34" s="1546">
        <f>'Ал погонаж база '!H17*(1+скидки_наценки!$B$31)*скидки_наценки!$D$13*скидки_наценки!$F$13/скидки_наценки!$B$4</f>
        <v>6530</v>
      </c>
      <c r="I34" s="1546">
        <f>'Ал погонаж база '!H18*(1+скидки_наценки!$B$31)*скидки_наценки!$D$13*скидки_наценки!$F$13/скидки_наценки!$B$4</f>
        <v>7840</v>
      </c>
      <c r="J34" s="11"/>
    </row>
    <row r="35" spans="1:10" s="71" customFormat="1" ht="27.95" customHeight="1">
      <c r="A35" s="2393"/>
      <c r="B35" s="2393"/>
      <c r="C35" s="2393"/>
      <c r="D35" s="2393"/>
      <c r="E35" s="2393"/>
      <c r="F35" s="2393"/>
      <c r="G35" s="2393"/>
      <c r="H35" s="2393"/>
      <c r="I35" s="2393"/>
      <c r="J35" s="11"/>
    </row>
    <row r="36" spans="1:10" s="11" customFormat="1" ht="29.25" customHeight="1">
      <c r="A36" s="1545" t="s">
        <v>2131</v>
      </c>
      <c r="E36" s="1545"/>
      <c r="F36" s="1545"/>
      <c r="G36" s="1545"/>
      <c r="H36" s="1545"/>
      <c r="I36" s="1545"/>
    </row>
    <row r="37" spans="1:10" s="11" customFormat="1" ht="27" customHeight="1">
      <c r="A37" s="3535" t="s">
        <v>1161</v>
      </c>
      <c r="B37" s="3535"/>
      <c r="C37" s="3535"/>
      <c r="D37" s="1548"/>
      <c r="E37" s="1332" t="s">
        <v>149</v>
      </c>
      <c r="F37" s="1829" t="s">
        <v>264</v>
      </c>
      <c r="G37" s="1332" t="str">
        <f>G5</f>
        <v xml:space="preserve"> золото,латунь, медный, антик</v>
      </c>
      <c r="H37" s="1829" t="s">
        <v>907</v>
      </c>
      <c r="I37" s="1332" t="s">
        <v>1489</v>
      </c>
    </row>
    <row r="38" spans="1:10" s="71" customFormat="1" ht="27.95" customHeight="1">
      <c r="A38" s="3536" t="s">
        <v>1163</v>
      </c>
      <c r="B38" s="3537"/>
      <c r="C38" s="3538"/>
      <c r="D38" s="1548"/>
      <c r="E38" s="1546">
        <f>'Ал погонаж база '!K14*(1+скидки_наценки!$B$31)*скидки_наценки!$D$13*скидки_наценки!$F$13/скидки_наценки!$B$4</f>
        <v>1900</v>
      </c>
      <c r="F38" s="1546">
        <f>'Ал погонаж база '!K15*(1+скидки_наценки!$B$31)*скидки_наценки!$D$13*скидки_наценки!$F$13/скидки_наценки!$B$4</f>
        <v>2090</v>
      </c>
      <c r="G38" s="1546">
        <f>'Ал погонаж база '!K16*(1+скидки_наценки!$B$31)*скидки_наценки!$D$13*скидки_наценки!$F$13/скидки_наценки!$B$4</f>
        <v>2280</v>
      </c>
      <c r="H38" s="1546">
        <f>'Ал погонаж база '!K17*(1+скидки_наценки!$B$31)*скидки_наценки!$D$13*скидки_наценки!$F$13/скидки_наценки!$B$4</f>
        <v>2760</v>
      </c>
      <c r="I38" s="1546">
        <f>'Ал погонаж база '!K18*(1+скидки_наценки!$B$31)*скидки_наценки!$D$13*скидки_наценки!$F$13/скидки_наценки!$B$4</f>
        <v>3320</v>
      </c>
      <c r="J38" s="11"/>
    </row>
    <row r="39" spans="1:10" s="71" customFormat="1" ht="27.95" customHeight="1">
      <c r="A39" s="3539" t="s">
        <v>1164</v>
      </c>
      <c r="B39" s="3540"/>
      <c r="C39" s="3541"/>
      <c r="D39" s="1548"/>
      <c r="E39" s="1334">
        <f>E38*2</f>
        <v>3800</v>
      </c>
      <c r="F39" s="1334">
        <f t="shared" ref="F39:I39" si="10">F38*2</f>
        <v>4180</v>
      </c>
      <c r="G39" s="1334">
        <f t="shared" si="10"/>
        <v>4560</v>
      </c>
      <c r="H39" s="1334">
        <f t="shared" si="10"/>
        <v>5520</v>
      </c>
      <c r="I39" s="1334">
        <f t="shared" si="10"/>
        <v>6640</v>
      </c>
      <c r="J39" s="11"/>
    </row>
    <row r="40" spans="1:10" s="71" customFormat="1" ht="10.5" customHeight="1">
      <c r="A40" s="1718"/>
      <c r="B40" s="1718"/>
      <c r="C40" s="1718"/>
      <c r="E40" s="1718"/>
      <c r="F40" s="1718"/>
      <c r="G40" s="1718"/>
      <c r="H40" s="1718"/>
      <c r="I40" s="1719"/>
      <c r="J40" s="11"/>
    </row>
    <row r="41" spans="1:10" s="71" customFormat="1" ht="18" customHeight="1">
      <c r="A41" s="1545" t="s">
        <v>2127</v>
      </c>
      <c r="B41" s="1718"/>
      <c r="C41" s="1718"/>
      <c r="E41" s="1718"/>
      <c r="F41" s="1718"/>
      <c r="G41" s="1718"/>
      <c r="H41" s="1718"/>
      <c r="I41" s="1719"/>
      <c r="J41" s="11"/>
    </row>
    <row r="42" spans="1:10" s="71" customFormat="1" ht="27.95" customHeight="1">
      <c r="A42" s="3535" t="s">
        <v>1743</v>
      </c>
      <c r="B42" s="3535"/>
      <c r="C42" s="3535"/>
      <c r="D42" s="1548"/>
      <c r="E42" s="1332" t="s">
        <v>149</v>
      </c>
      <c r="F42" s="1332" t="s">
        <v>264</v>
      </c>
      <c r="G42" s="1332" t="str">
        <f>G5</f>
        <v xml:space="preserve"> золото,латунь, медный, антик</v>
      </c>
      <c r="H42" s="1332" t="s">
        <v>907</v>
      </c>
      <c r="I42" s="1719"/>
      <c r="J42" s="11"/>
    </row>
    <row r="43" spans="1:10" s="71" customFormat="1" ht="27.95" customHeight="1">
      <c r="A43" s="3536" t="s">
        <v>1164</v>
      </c>
      <c r="B43" s="3537"/>
      <c r="C43" s="3538"/>
      <c r="E43" s="1722" t="s">
        <v>3</v>
      </c>
      <c r="F43" s="1334">
        <f>'Ал погонаж база '!M15*(1+скидки_наценки!$B$31)*скидки_наценки!$D$13*скидки_наценки!$F$13/скидки_наценки!$B$4</f>
        <v>1930</v>
      </c>
      <c r="G43" s="1334">
        <f>'Ал погонаж база '!M16*(1+скидки_наценки!$B$31)*скидки_наценки!$D$13*скидки_наценки!$F$13/скидки_наценки!$B$4</f>
        <v>2100</v>
      </c>
      <c r="H43" s="1334">
        <f>'Ал погонаж база '!M17*(1+скидки_наценки!$B$31)*скидки_наценки!$D$13*скидки_наценки!$F$13/скидки_наценки!$B$4</f>
        <v>2540</v>
      </c>
      <c r="I43" s="1719"/>
      <c r="J43" s="11"/>
    </row>
    <row r="44" spans="1:10" s="71" customFormat="1" ht="27.95" customHeight="1">
      <c r="A44" s="3539" t="s">
        <v>1739</v>
      </c>
      <c r="B44" s="3540"/>
      <c r="C44" s="3541"/>
      <c r="D44" s="1720"/>
      <c r="E44" s="1721" t="s">
        <v>3</v>
      </c>
      <c r="F44" s="1334">
        <f>'Ал погонаж база '!N15*(1+скидки_наценки!$B$31)*скидки_наценки!$D$13*скидки_наценки!$F$13/скидки_наценки!$B$4</f>
        <v>2920</v>
      </c>
      <c r="G44" s="1334">
        <f>'Ал погонаж база '!N16*(1+скидки_наценки!$B$31)*скидки_наценки!$D$13*скидки_наценки!$F$13/скидки_наценки!$B$4</f>
        <v>3180</v>
      </c>
      <c r="H44" s="1334">
        <f>'Ал погонаж база '!N17*(1+скидки_наценки!$B$31)*скидки_наценки!$D$13*скидки_наценки!$F$13/скидки_наценки!$B$4</f>
        <v>3850</v>
      </c>
      <c r="I44" s="1719"/>
      <c r="J44" s="11"/>
    </row>
    <row r="45" spans="1:10" s="71" customFormat="1" ht="9" customHeight="1">
      <c r="A45" s="1718"/>
      <c r="B45" s="1718"/>
      <c r="C45" s="1718"/>
      <c r="E45" s="1718"/>
      <c r="F45" s="1718"/>
      <c r="G45" s="1718"/>
      <c r="H45" s="1718"/>
      <c r="I45" s="1719"/>
      <c r="J45" s="11"/>
    </row>
    <row r="46" spans="1:10" s="71" customFormat="1" ht="15.75" customHeight="1">
      <c r="A46" s="1718"/>
      <c r="B46" s="1718"/>
      <c r="C46" s="1718"/>
      <c r="E46" s="1718"/>
      <c r="F46" s="1718"/>
      <c r="G46" s="1718"/>
      <c r="H46" s="1718"/>
      <c r="I46" s="1719"/>
      <c r="J46" s="11"/>
    </row>
    <row r="47" spans="1:10" s="71" customFormat="1" ht="15.75" customHeight="1">
      <c r="A47" s="3534" t="s">
        <v>2285</v>
      </c>
      <c r="B47" s="3534"/>
      <c r="C47" s="3534"/>
      <c r="D47" s="3534"/>
      <c r="E47" s="3534"/>
      <c r="F47" s="3534"/>
      <c r="G47" s="3534"/>
      <c r="H47" s="3534"/>
      <c r="I47" s="1719"/>
      <c r="J47" s="11"/>
    </row>
    <row r="48" spans="1:10" s="2515" customFormat="1" ht="26.25" customHeight="1">
      <c r="A48" s="3534" t="s">
        <v>2286</v>
      </c>
      <c r="B48" s="3534"/>
      <c r="C48" s="3534"/>
      <c r="D48" s="3534"/>
      <c r="E48" s="3534"/>
      <c r="F48" s="3534"/>
      <c r="G48" s="3534"/>
      <c r="H48" s="3534"/>
      <c r="J48" s="11"/>
    </row>
    <row r="49" spans="1:10" s="71" customFormat="1" ht="15">
      <c r="A49" s="223" t="s">
        <v>2287</v>
      </c>
      <c r="J49" s="11"/>
    </row>
    <row r="50" spans="1:10" s="71" customFormat="1"/>
    <row r="51" spans="1:10" s="71" customFormat="1"/>
    <row r="52" spans="1:10" s="71" customFormat="1"/>
    <row r="53" spans="1:10" s="71" customFormat="1"/>
    <row r="54" spans="1:10" s="71" customFormat="1"/>
    <row r="55" spans="1:10" s="71" customFormat="1"/>
    <row r="56" spans="1:10" s="71" customFormat="1"/>
    <row r="57" spans="1:10" s="71" customFormat="1"/>
    <row r="58" spans="1:10" s="71" customFormat="1"/>
    <row r="59" spans="1:10" s="71" customFormat="1"/>
    <row r="60" spans="1:10" s="71" customFormat="1"/>
    <row r="61" spans="1:10" s="71" customFormat="1"/>
    <row r="62" spans="1:10" s="71" customFormat="1"/>
    <row r="63" spans="1:10" s="71" customFormat="1"/>
    <row r="64" spans="1:10" s="71" customFormat="1"/>
    <row r="65" s="71" customFormat="1"/>
    <row r="66" s="71" customFormat="1"/>
    <row r="67" s="71" customFormat="1"/>
    <row r="68" s="71" customFormat="1"/>
    <row r="69" s="71" customFormat="1"/>
    <row r="70" s="71" customFormat="1"/>
    <row r="71" s="71" customFormat="1"/>
    <row r="72" s="71" customFormat="1"/>
    <row r="73" s="71" customFormat="1"/>
    <row r="74" s="71" customFormat="1"/>
    <row r="75" s="71" customFormat="1"/>
    <row r="76" s="71" customFormat="1"/>
    <row r="77" s="71" customFormat="1"/>
    <row r="78" s="71" customFormat="1"/>
    <row r="79" s="71" customFormat="1"/>
    <row r="80" s="71" customFormat="1"/>
    <row r="81" s="71" customFormat="1"/>
    <row r="82" s="71" customFormat="1"/>
    <row r="83" s="71" customFormat="1"/>
    <row r="84" s="71" customFormat="1"/>
    <row r="85" s="71" customFormat="1"/>
    <row r="86" s="71" customFormat="1"/>
    <row r="87" s="71" customFormat="1"/>
    <row r="88" s="71" customFormat="1"/>
    <row r="89" s="71" customFormat="1"/>
    <row r="90" s="71" customFormat="1"/>
    <row r="91" s="71" customFormat="1"/>
    <row r="92" s="71" customFormat="1"/>
    <row r="93" s="71" customFormat="1"/>
    <row r="94" s="71" customFormat="1"/>
    <row r="95" s="71" customFormat="1"/>
    <row r="96" s="71" customFormat="1"/>
    <row r="97" s="71" customFormat="1"/>
    <row r="98" s="71" customFormat="1"/>
    <row r="99" s="71" customFormat="1"/>
    <row r="100" s="71" customFormat="1"/>
    <row r="101" s="71" customFormat="1"/>
    <row r="102" s="71" customFormat="1"/>
    <row r="103" s="71" customFormat="1"/>
    <row r="104" s="71" customFormat="1"/>
    <row r="105" s="71" customFormat="1"/>
    <row r="106" s="71" customFormat="1"/>
    <row r="107" s="71" customFormat="1"/>
    <row r="108" s="71" customFormat="1"/>
    <row r="109" s="71" customFormat="1"/>
    <row r="110" s="71" customFormat="1"/>
    <row r="111" s="71" customFormat="1"/>
    <row r="112" s="71" customFormat="1"/>
    <row r="113" s="71" customFormat="1"/>
    <row r="114" s="71" customFormat="1"/>
    <row r="115" s="71" customFormat="1"/>
    <row r="116" s="71" customFormat="1"/>
    <row r="117" s="71" customFormat="1"/>
    <row r="118" s="71" customFormat="1"/>
    <row r="119" s="71" customFormat="1"/>
    <row r="120" s="71" customFormat="1"/>
    <row r="121" s="71" customFormat="1"/>
    <row r="122" s="71" customFormat="1"/>
    <row r="123" s="71" customFormat="1"/>
    <row r="124" s="71" customFormat="1"/>
    <row r="125" s="71" customFormat="1"/>
    <row r="126" s="71" customFormat="1"/>
    <row r="127" s="71" customFormat="1"/>
    <row r="128" s="71" customFormat="1"/>
    <row r="129" s="71" customFormat="1"/>
    <row r="130" s="71" customFormat="1"/>
    <row r="131" s="71" customFormat="1"/>
    <row r="132" s="71" customFormat="1"/>
    <row r="133" s="71" customFormat="1"/>
    <row r="134" s="71" customFormat="1"/>
    <row r="135" s="71" customFormat="1"/>
    <row r="136" s="71" customFormat="1"/>
    <row r="137" s="71" customFormat="1"/>
    <row r="138" s="71" customFormat="1"/>
    <row r="139" s="71" customFormat="1"/>
    <row r="140" s="71" customFormat="1"/>
    <row r="141" s="71" customFormat="1"/>
    <row r="142" s="71" customFormat="1"/>
    <row r="143" s="71" customFormat="1"/>
    <row r="144" s="71" customFormat="1"/>
    <row r="145" s="71" customFormat="1"/>
    <row r="146" s="71" customFormat="1"/>
    <row r="147" s="71" customFormat="1"/>
    <row r="148" s="71" customFormat="1"/>
    <row r="149" s="71" customFormat="1"/>
    <row r="150" s="71" customFormat="1"/>
    <row r="151" s="71" customFormat="1"/>
    <row r="152" s="71" customFormat="1"/>
    <row r="153" s="71" customFormat="1"/>
    <row r="154" s="71" customFormat="1"/>
    <row r="155" s="71" customFormat="1"/>
    <row r="156" s="71" customFormat="1"/>
    <row r="157" s="71" customFormat="1"/>
    <row r="158" s="71" customFormat="1"/>
    <row r="159" s="71" customFormat="1"/>
    <row r="160" s="71" customFormat="1"/>
    <row r="161" s="71" customFormat="1"/>
    <row r="162" s="71" customFormat="1"/>
    <row r="163" s="71" customFormat="1"/>
    <row r="164" s="71" customFormat="1"/>
    <row r="165" s="71" customFormat="1"/>
    <row r="166" s="71" customFormat="1"/>
    <row r="167" s="71" customFormat="1"/>
    <row r="168" s="71" customFormat="1"/>
    <row r="169" s="71" customFormat="1"/>
    <row r="170" s="71" customFormat="1"/>
    <row r="171" s="71" customFormat="1"/>
    <row r="172" s="71" customFormat="1"/>
    <row r="173" s="71" customFormat="1"/>
    <row r="174" s="71" customFormat="1"/>
    <row r="175" s="71" customFormat="1"/>
    <row r="176" s="71" customFormat="1"/>
    <row r="177" spans="1:1" s="71" customFormat="1"/>
    <row r="178" spans="1:1" s="71" customFormat="1"/>
    <row r="179" spans="1:1" s="71" customFormat="1"/>
    <row r="180" spans="1:1" s="71" customFormat="1"/>
    <row r="181" spans="1:1" s="71" customFormat="1"/>
    <row r="182" spans="1:1" s="71" customFormat="1"/>
    <row r="183" spans="1:1" s="71" customFormat="1"/>
    <row r="184" spans="1:1" s="71" customFormat="1">
      <c r="A184" s="2516"/>
    </row>
  </sheetData>
  <mergeCells count="37">
    <mergeCell ref="E25:I25"/>
    <mergeCell ref="A19:C20"/>
    <mergeCell ref="D19:D20"/>
    <mergeCell ref="E19:I19"/>
    <mergeCell ref="A21:C21"/>
    <mergeCell ref="A22:C22"/>
    <mergeCell ref="A48:H48"/>
    <mergeCell ref="A37:C37"/>
    <mergeCell ref="A38:C38"/>
    <mergeCell ref="A42:C42"/>
    <mergeCell ref="A25:C26"/>
    <mergeCell ref="A27:C27"/>
    <mergeCell ref="A28:C28"/>
    <mergeCell ref="A29:C29"/>
    <mergeCell ref="A31:H31"/>
    <mergeCell ref="A32:C33"/>
    <mergeCell ref="E32:I32"/>
    <mergeCell ref="A34:C34"/>
    <mergeCell ref="A47:H47"/>
    <mergeCell ref="A43:C43"/>
    <mergeCell ref="A44:C44"/>
    <mergeCell ref="A39:C39"/>
    <mergeCell ref="E4:I4"/>
    <mergeCell ref="A3:C3"/>
    <mergeCell ref="A16:C16"/>
    <mergeCell ref="D4:D5"/>
    <mergeCell ref="A9:C9"/>
    <mergeCell ref="A4:C5"/>
    <mergeCell ref="A7:C7"/>
    <mergeCell ref="A8:C8"/>
    <mergeCell ref="A6:C6"/>
    <mergeCell ref="A15:C15"/>
    <mergeCell ref="A10:C10"/>
    <mergeCell ref="A11:C11"/>
    <mergeCell ref="A14:C14"/>
    <mergeCell ref="A12:C12"/>
    <mergeCell ref="A13:C13"/>
  </mergeCells>
  <hyperlinks>
    <hyperlink ref="B1" location="Содержание!A1" display="Вернуться в содержание"/>
  </hyperlinks>
  <printOptions horizontalCentered="1"/>
  <pageMargins left="3.937007874015748E-2" right="0.23622047244094491" top="0.59055118110236227" bottom="0.31496062992125984" header="0.59055118110236227" footer="0.31496062992125984"/>
  <pageSetup paperSize="9" scale="57" firstPageNumber="39" orientation="portrait" useFirstPageNumber="1" r:id="rId1"/>
  <headerFooter>
    <oddFooter>&amp;L&amp;P&amp;R&amp;22&amp;G</odd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9">
    <tabColor rgb="FF92D050"/>
  </sheetPr>
  <dimension ref="A1:J179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D13" sqref="D13"/>
    </sheetView>
  </sheetViews>
  <sheetFormatPr defaultColWidth="9.140625" defaultRowHeight="12.75"/>
  <cols>
    <col min="1" max="1" width="9" style="73" customWidth="1"/>
    <col min="2" max="2" width="19.7109375" style="73" customWidth="1"/>
    <col min="3" max="6" width="25.7109375" style="73" customWidth="1"/>
    <col min="7" max="7" width="2" style="77" customWidth="1"/>
    <col min="8" max="8" width="25.7109375" style="73" customWidth="1"/>
    <col min="9" max="9" width="2.140625" style="73" customWidth="1"/>
    <col min="10" max="10" width="2" style="73" customWidth="1"/>
    <col min="11" max="16384" width="9.140625" style="73"/>
  </cols>
  <sheetData>
    <row r="1" spans="1:10" s="1039" customFormat="1" ht="15.95" customHeight="1">
      <c r="A1" s="1037"/>
      <c r="B1" s="1034" t="s">
        <v>307</v>
      </c>
      <c r="C1" s="1038"/>
      <c r="D1" s="1038"/>
      <c r="E1" s="1038"/>
      <c r="F1" s="1038"/>
      <c r="G1" s="1040"/>
      <c r="H1" s="1038"/>
      <c r="I1" s="1038"/>
    </row>
    <row r="2" spans="1:10" s="68" customFormat="1" ht="15.95" customHeight="1">
      <c r="A2" s="69"/>
      <c r="B2" s="70"/>
      <c r="C2" s="70"/>
      <c r="D2" s="70"/>
      <c r="E2" s="70"/>
      <c r="F2" s="70"/>
      <c r="G2" s="465"/>
      <c r="H2" s="70"/>
      <c r="I2" s="70"/>
    </row>
    <row r="3" spans="1:10" s="11" customFormat="1" ht="17.25" customHeight="1">
      <c r="A3" s="3524" t="s">
        <v>243</v>
      </c>
      <c r="B3" s="3524"/>
      <c r="C3" s="3552"/>
      <c r="D3" s="133"/>
      <c r="E3" s="537"/>
      <c r="F3" s="133"/>
      <c r="G3" s="541"/>
      <c r="H3" s="133"/>
      <c r="I3" s="133"/>
      <c r="J3" s="62"/>
    </row>
    <row r="4" spans="1:10" s="11" customFormat="1" ht="52.5" customHeight="1">
      <c r="A4" s="3553" t="s">
        <v>88</v>
      </c>
      <c r="B4" s="3554"/>
      <c r="C4" s="3559" t="s">
        <v>641</v>
      </c>
      <c r="D4" s="3559"/>
      <c r="E4" s="3559" t="s">
        <v>643</v>
      </c>
      <c r="F4" s="3559"/>
      <c r="G4" s="351"/>
      <c r="H4" s="1085" t="s">
        <v>282</v>
      </c>
      <c r="I4" s="351"/>
      <c r="J4" s="62"/>
    </row>
    <row r="5" spans="1:10" s="11" customFormat="1" ht="17.25" customHeight="1">
      <c r="A5" s="3555"/>
      <c r="B5" s="3556"/>
      <c r="C5" s="1081" t="s">
        <v>5</v>
      </c>
      <c r="D5" s="1082" t="s">
        <v>63</v>
      </c>
      <c r="E5" s="1081" t="s">
        <v>5</v>
      </c>
      <c r="F5" s="1082" t="s">
        <v>63</v>
      </c>
      <c r="G5" s="366"/>
      <c r="H5" s="1082" t="s">
        <v>5</v>
      </c>
      <c r="I5" s="354"/>
      <c r="J5" s="62"/>
    </row>
    <row r="6" spans="1:10" s="11" customFormat="1" ht="17.25" customHeight="1">
      <c r="A6" s="3555"/>
      <c r="B6" s="3556"/>
      <c r="C6" s="3560" t="s">
        <v>642</v>
      </c>
      <c r="D6" s="3560" t="s">
        <v>644</v>
      </c>
      <c r="E6" s="3560" t="s">
        <v>645</v>
      </c>
      <c r="F6" s="3561" t="s">
        <v>644</v>
      </c>
      <c r="G6" s="355"/>
      <c r="H6" s="3560" t="s">
        <v>935</v>
      </c>
      <c r="I6" s="352"/>
      <c r="J6" s="62"/>
    </row>
    <row r="7" spans="1:10" s="11" customFormat="1" ht="32.25" customHeight="1">
      <c r="A7" s="3555"/>
      <c r="B7" s="3556"/>
      <c r="C7" s="3560"/>
      <c r="D7" s="3560"/>
      <c r="E7" s="3560"/>
      <c r="F7" s="3561"/>
      <c r="G7" s="355"/>
      <c r="H7" s="3560"/>
      <c r="I7" s="352"/>
      <c r="J7" s="62"/>
    </row>
    <row r="8" spans="1:10" s="11" customFormat="1" ht="32.25" customHeight="1">
      <c r="A8" s="3555"/>
      <c r="B8" s="3556"/>
      <c r="C8" s="3560"/>
      <c r="D8" s="3560"/>
      <c r="E8" s="3560"/>
      <c r="F8" s="3561"/>
      <c r="G8" s="355"/>
      <c r="H8" s="3560"/>
      <c r="I8" s="352"/>
      <c r="J8" s="62"/>
    </row>
    <row r="9" spans="1:10" s="137" customFormat="1" ht="19.5" customHeight="1">
      <c r="A9" s="3555"/>
      <c r="B9" s="3556"/>
      <c r="C9" s="1086" t="s">
        <v>116</v>
      </c>
      <c r="D9" s="3560"/>
      <c r="E9" s="1086" t="s">
        <v>1758</v>
      </c>
      <c r="F9" s="3561"/>
      <c r="G9" s="355"/>
      <c r="H9" s="1086" t="s">
        <v>265</v>
      </c>
      <c r="I9" s="370"/>
    </row>
    <row r="10" spans="1:10" s="137" customFormat="1" ht="93" customHeight="1">
      <c r="A10" s="3557"/>
      <c r="B10" s="3558"/>
      <c r="C10" s="1083" t="s">
        <v>80</v>
      </c>
      <c r="D10" s="1084" t="s">
        <v>1105</v>
      </c>
      <c r="E10" s="1083" t="s">
        <v>123</v>
      </c>
      <c r="F10" s="1417" t="s">
        <v>1105</v>
      </c>
      <c r="G10" s="366"/>
      <c r="H10" s="1087" t="s">
        <v>1105</v>
      </c>
      <c r="I10" s="371"/>
    </row>
    <row r="11" spans="1:10" s="11" customFormat="1" ht="47.25" hidden="1" customHeight="1">
      <c r="A11" s="3405" t="s">
        <v>946</v>
      </c>
      <c r="B11" s="1141" t="s">
        <v>1217</v>
      </c>
      <c r="C11" s="820">
        <f>CEILING('Погонаж база'!J13*(1+скидки_наценки!$B$28)*скидки_наценки!$D$19*скидки_наценки!$F$19/скидки_наценки!$B$4, 10)</f>
        <v>3450</v>
      </c>
      <c r="D11" s="820">
        <f>CEILING('Погонаж база'!AV13*(1+скидки_наценки!$B$28)*скидки_наценки!$D$19*скидки_наценки!$F$19/скидки_наценки!$B$4, 10)</f>
        <v>1450</v>
      </c>
      <c r="E11" s="820">
        <f>CEILING('Погонаж база'!L13*(1+скидки_наценки!$B$28)*скидки_наценки!$D$19*скидки_наценки!$F$19/скидки_наценки!$B$4, 10)</f>
        <v>2900</v>
      </c>
      <c r="F11" s="1418">
        <f t="shared" ref="F11:F17" si="0">D11</f>
        <v>1450</v>
      </c>
      <c r="G11" s="383"/>
      <c r="H11" s="820">
        <f>CEILING('Погонаж база'!K13*(1+скидки_наценки!$B$28)*скидки_наценки!$D$19*скидки_наценки!$F$19/скидки_наценки!$B$4, 10)</f>
        <v>3150</v>
      </c>
      <c r="I11" s="384"/>
    </row>
    <row r="12" spans="1:10" s="136" customFormat="1" ht="42.75" hidden="1" customHeight="1">
      <c r="A12" s="3405"/>
      <c r="B12" s="1142" t="s">
        <v>1218</v>
      </c>
      <c r="C12" s="1144">
        <f>CEILING('Погонаж база'!J14*(1+скидки_наценки!$B$28)*скидки_наценки!$D$19*скидки_наценки!$F$19/скидки_наценки!$B$4, 10)</f>
        <v>4100</v>
      </c>
      <c r="D12" s="1144">
        <f>CEILING('Погонаж база'!AV14*(1+скидки_наценки!$B$28)*скидки_наценки!$D$19*скидки_наценки!$F$19/скидки_наценки!$B$4, 10)</f>
        <v>1750</v>
      </c>
      <c r="E12" s="1144">
        <f>CEILING('Погонаж база'!L14*(1+скидки_наценки!$B$28)*скидки_наценки!$D$19*скидки_наценки!$F$19/скидки_наценки!$B$4, 10)</f>
        <v>3400</v>
      </c>
      <c r="F12" s="1419">
        <f t="shared" si="0"/>
        <v>1750</v>
      </c>
      <c r="G12" s="542"/>
      <c r="H12" s="1144">
        <f>CEILING('Погонаж база'!K14*(1+скидки_наценки!$B$28)*скидки_наценки!$D$19*скидки_наценки!$F$19/скидки_наценки!$B$4, 10)</f>
        <v>3700</v>
      </c>
      <c r="I12" s="385"/>
    </row>
    <row r="13" spans="1:10" s="11" customFormat="1" ht="47.25" customHeight="1">
      <c r="A13" s="1143" t="s">
        <v>28</v>
      </c>
      <c r="B13" s="1141" t="s">
        <v>207</v>
      </c>
      <c r="C13" s="820">
        <f>'Погонаж база'!J15*(1+скидки_наценки!$B$28)*скидки_наценки!$D$19*скидки_наценки!$F$19/скидки_наценки!$B$4</f>
        <v>5270</v>
      </c>
      <c r="D13" s="820">
        <f>'Погонаж база'!AV15*(1+скидки_наценки!$B$28)*скидки_наценки!$D$19*скидки_наценки!$F$19/скидки_наценки!$B$4</f>
        <v>2210</v>
      </c>
      <c r="E13" s="820">
        <f>'Погонаж база'!L15*(1+скидки_наценки!$B$28)*скидки_наценки!$D$19*скидки_наценки!$F$19/скидки_наценки!$B$4</f>
        <v>4390</v>
      </c>
      <c r="F13" s="1418">
        <f t="shared" si="0"/>
        <v>2210</v>
      </c>
      <c r="G13" s="383"/>
      <c r="H13" s="820">
        <f>'Погонаж база'!K15*(1+скидки_наценки!$B$28)*скидки_наценки!$D$19*скидки_наценки!$F$19/скидки_наценки!$B$4</f>
        <v>4780</v>
      </c>
      <c r="I13" s="384"/>
    </row>
    <row r="14" spans="1:10" s="133" customFormat="1" ht="31.5" customHeight="1">
      <c r="A14" s="3467" t="s">
        <v>25</v>
      </c>
      <c r="B14" s="1142" t="s">
        <v>1281</v>
      </c>
      <c r="C14" s="1144">
        <f>'Погонаж база'!J16*(1+скидки_наценки!$B$29)*скидки_наценки!$D$19*скидки_наценки!$F$19/скидки_наценки!$B$4</f>
        <v>5550</v>
      </c>
      <c r="D14" s="1144">
        <f>'Погонаж база'!AV16*(1+скидки_наценки!$B$29)*скидки_наценки!$D$19*скидки_наценки!$F$19/скидки_наценки!$B$4</f>
        <v>2350</v>
      </c>
      <c r="E14" s="1144">
        <f>'Погонаж база'!L16*(1+скидки_наценки!$B$28)*скидки_наценки!$D$19*скидки_наценки!$F$19/скидки_наценки!$B$4</f>
        <v>4650</v>
      </c>
      <c r="F14" s="1419">
        <f t="shared" si="0"/>
        <v>2350</v>
      </c>
      <c r="G14" s="383"/>
      <c r="H14" s="1144">
        <f>'Погонаж база'!K16*(1+скидки_наценки!$B$29)*скидки_наценки!$D$19*скидки_наценки!$F$19/скидки_наценки!$B$4</f>
        <v>5050</v>
      </c>
      <c r="I14" s="384"/>
    </row>
    <row r="15" spans="1:10" s="134" customFormat="1" ht="31.5" customHeight="1">
      <c r="A15" s="3467"/>
      <c r="B15" s="1141" t="s">
        <v>1287</v>
      </c>
      <c r="C15" s="820">
        <f>'Погонаж база'!J17*(1+скидки_наценки!$B$29)*скидки_наценки!$D$19*скидки_наценки!$F$19/скидки_наценки!$B$4</f>
        <v>6000</v>
      </c>
      <c r="D15" s="820">
        <f>'Погонаж база'!AV17*(1+скидки_наценки!$B$29)*скидки_наценки!$D$19*скидки_наценки!$F$19/скидки_наценки!$B$4</f>
        <v>2500</v>
      </c>
      <c r="E15" s="820">
        <f>'Погонаж база'!L17*(1+скидки_наценки!$B$28)*скидки_наценки!$D$19*скидки_наценки!$F$19/скидки_наценки!$B$4</f>
        <v>5000</v>
      </c>
      <c r="F15" s="1418">
        <f t="shared" si="0"/>
        <v>2500</v>
      </c>
      <c r="G15" s="1415"/>
      <c r="H15" s="820">
        <f>'Погонаж база'!K17*(1+скидки_наценки!$B$29)*скидки_наценки!$D$19*скидки_наценки!$F$19/скидки_наценки!$B$4</f>
        <v>5450</v>
      </c>
      <c r="I15" s="384"/>
    </row>
    <row r="16" spans="1:10" s="134" customFormat="1" ht="31.5" customHeight="1">
      <c r="A16" s="3468"/>
      <c r="B16" s="1847" t="s">
        <v>1806</v>
      </c>
      <c r="C16" s="1144">
        <f>'Погонаж база'!J18*(1+скидки_наценки!$B$29)*скидки_наценки!$D$19*скидки_наценки!$F$19/скидки_наценки!$B$4</f>
        <v>6250</v>
      </c>
      <c r="D16" s="1144">
        <f>'Погонаж база'!AV18*(1+скидки_наценки!$B$29)*скидки_наценки!$D$19*скидки_наценки!$F$19/скидки_наценки!$B$4</f>
        <v>2650</v>
      </c>
      <c r="E16" s="1144">
        <f>'Погонаж база'!L18*(1+скидки_наценки!$B$28)*скидки_наценки!$D$19*скидки_наценки!$F$19/скидки_наценки!$B$4</f>
        <v>5200</v>
      </c>
      <c r="F16" s="1419">
        <f t="shared" si="0"/>
        <v>2650</v>
      </c>
      <c r="G16" s="1880"/>
      <c r="H16" s="1144">
        <f>'Погонаж база'!K18*(1+скидки_наценки!$B$29)*скидки_наценки!$D$19*скидки_наценки!$F$19/скидки_наценки!$B$4</f>
        <v>5650</v>
      </c>
      <c r="I16" s="384"/>
    </row>
    <row r="17" spans="1:10" s="134" customFormat="1" ht="31.5" customHeight="1">
      <c r="A17" s="3467"/>
      <c r="B17" s="1141" t="s">
        <v>1293</v>
      </c>
      <c r="C17" s="820">
        <f>'Погонаж база'!J19*(1+скидки_наценки!$B$29)*скидки_наценки!$D$19*скидки_наценки!$F$19/скидки_наценки!$B$4</f>
        <v>6500</v>
      </c>
      <c r="D17" s="820">
        <f>'Погонаж база'!AV19*(1+скидки_наценки!$B$29)*скидки_наценки!$D$19*скидки_наценки!$F$19/скидки_наценки!$B$4</f>
        <v>2750</v>
      </c>
      <c r="E17" s="820">
        <f>'Погонаж база'!L19*(1+скидки_наценки!$B$28)*скидки_наценки!$D$19*скидки_наценки!$F$19/скидки_наценки!$B$4</f>
        <v>5400</v>
      </c>
      <c r="F17" s="1418">
        <f t="shared" si="0"/>
        <v>2750</v>
      </c>
      <c r="G17" s="1416"/>
      <c r="H17" s="820">
        <f>'Погонаж база'!K19*(1+скидки_наценки!$B$29)*скидки_наценки!$D$19*скидки_наценки!$F$19/скидки_наценки!$B$4</f>
        <v>5900</v>
      </c>
      <c r="I17" s="384"/>
    </row>
    <row r="18" spans="1:10" s="100" customFormat="1" ht="18" customHeight="1">
      <c r="A18" s="71"/>
      <c r="B18" s="809"/>
      <c r="C18" s="224"/>
      <c r="D18" s="182"/>
      <c r="E18" s="224"/>
      <c r="F18" s="182"/>
      <c r="G18" s="295"/>
      <c r="H18" s="182"/>
      <c r="I18" s="182"/>
    </row>
    <row r="19" spans="1:10" s="100" customFormat="1" ht="18" customHeight="1">
      <c r="A19" s="182"/>
      <c r="B19" s="809"/>
      <c r="C19" s="224"/>
      <c r="D19" s="182"/>
      <c r="E19" s="224"/>
      <c r="F19" s="182"/>
      <c r="G19" s="295"/>
      <c r="H19" s="182"/>
      <c r="I19" s="182"/>
    </row>
    <row r="20" spans="1:10" s="152" customFormat="1" ht="15">
      <c r="B20" s="294" t="s">
        <v>888</v>
      </c>
      <c r="C20" s="151"/>
      <c r="D20" s="151"/>
      <c r="E20" s="151"/>
      <c r="F20" s="151"/>
      <c r="G20" s="269"/>
      <c r="H20" s="151"/>
    </row>
    <row r="21" spans="1:10" s="100" customFormat="1" ht="12" customHeight="1">
      <c r="A21" s="104"/>
      <c r="B21" s="71" t="s">
        <v>934</v>
      </c>
      <c r="C21" s="102"/>
      <c r="D21" s="104"/>
      <c r="E21" s="102"/>
      <c r="F21" s="104"/>
      <c r="G21" s="209"/>
      <c r="H21" s="104"/>
      <c r="I21" s="104"/>
    </row>
    <row r="22" spans="1:10" s="100" customFormat="1" ht="12" customHeight="1">
      <c r="A22" s="104"/>
      <c r="B22" s="225"/>
      <c r="C22" s="103"/>
      <c r="D22" s="103"/>
      <c r="E22" s="103"/>
      <c r="F22" s="103"/>
      <c r="G22" s="210"/>
      <c r="H22" s="103"/>
      <c r="I22" s="103"/>
    </row>
    <row r="23" spans="1:10" s="11" customFormat="1" ht="17.25" customHeight="1">
      <c r="A23" s="133"/>
      <c r="C23" s="133"/>
      <c r="D23" s="133"/>
      <c r="E23" s="133"/>
      <c r="F23" s="133"/>
      <c r="G23" s="541"/>
      <c r="H23" s="133"/>
      <c r="I23" s="133"/>
      <c r="J23" s="62"/>
    </row>
    <row r="24" spans="1:10" s="11" customFormat="1" ht="17.25" customHeight="1">
      <c r="A24" s="133"/>
      <c r="C24" s="133"/>
      <c r="D24" s="133"/>
      <c r="E24" s="133"/>
      <c r="F24" s="133"/>
      <c r="G24" s="541"/>
      <c r="H24" s="133"/>
      <c r="I24" s="133"/>
      <c r="J24" s="62"/>
    </row>
    <row r="25" spans="1:10" s="11" customFormat="1" ht="17.25" customHeight="1">
      <c r="A25" s="133"/>
      <c r="C25" s="133"/>
      <c r="D25" s="133"/>
      <c r="E25" s="133"/>
      <c r="F25" s="133"/>
      <c r="G25" s="541"/>
      <c r="H25" s="133"/>
      <c r="I25" s="133"/>
      <c r="J25" s="62"/>
    </row>
    <row r="26" spans="1:10" s="11" customFormat="1" ht="17.25" customHeight="1">
      <c r="A26" s="133"/>
      <c r="C26" s="133"/>
      <c r="D26" s="133"/>
      <c r="E26" s="133"/>
      <c r="F26" s="133"/>
      <c r="G26" s="541"/>
      <c r="H26" s="133"/>
      <c r="I26" s="133"/>
      <c r="J26" s="62"/>
    </row>
    <row r="27" spans="1:10" s="11" customFormat="1" ht="17.25" customHeight="1">
      <c r="A27" s="133"/>
      <c r="C27" s="133"/>
      <c r="D27" s="133"/>
      <c r="E27" s="133"/>
      <c r="F27" s="133"/>
      <c r="G27" s="541"/>
      <c r="H27" s="133"/>
      <c r="I27" s="133"/>
      <c r="J27" s="62"/>
    </row>
    <row r="28" spans="1:10" s="11" customFormat="1" ht="17.25" customHeight="1">
      <c r="A28" s="133"/>
      <c r="C28" s="133"/>
      <c r="D28" s="133"/>
      <c r="E28" s="133"/>
      <c r="F28" s="133"/>
      <c r="G28" s="541"/>
      <c r="H28" s="133"/>
      <c r="I28" s="133"/>
      <c r="J28" s="62"/>
    </row>
    <row r="29" spans="1:10" s="11" customFormat="1" ht="17.25" customHeight="1">
      <c r="A29" s="133"/>
      <c r="C29" s="133"/>
      <c r="D29" s="133"/>
      <c r="E29" s="133"/>
      <c r="F29" s="133"/>
      <c r="G29" s="541"/>
      <c r="H29" s="133"/>
      <c r="I29" s="133"/>
      <c r="J29" s="62"/>
    </row>
    <row r="30" spans="1:10" s="71" customFormat="1">
      <c r="G30" s="94"/>
    </row>
    <row r="31" spans="1:10" s="71" customFormat="1">
      <c r="G31" s="94"/>
    </row>
    <row r="32" spans="1:10" s="71" customFormat="1">
      <c r="G32" s="94"/>
    </row>
    <row r="33" spans="7:7" s="71" customFormat="1">
      <c r="G33" s="94"/>
    </row>
    <row r="34" spans="7:7" s="71" customFormat="1">
      <c r="G34" s="94"/>
    </row>
    <row r="35" spans="7:7" s="71" customFormat="1">
      <c r="G35" s="94"/>
    </row>
    <row r="36" spans="7:7" s="71" customFormat="1">
      <c r="G36" s="94"/>
    </row>
    <row r="37" spans="7:7" s="71" customFormat="1">
      <c r="G37" s="94"/>
    </row>
    <row r="38" spans="7:7" s="71" customFormat="1">
      <c r="G38" s="94"/>
    </row>
    <row r="39" spans="7:7" s="71" customFormat="1">
      <c r="G39" s="94"/>
    </row>
    <row r="40" spans="7:7" s="71" customFormat="1">
      <c r="G40" s="94"/>
    </row>
    <row r="41" spans="7:7" s="71" customFormat="1">
      <c r="G41" s="94"/>
    </row>
    <row r="42" spans="7:7" s="71" customFormat="1">
      <c r="G42" s="94"/>
    </row>
    <row r="43" spans="7:7" s="71" customFormat="1">
      <c r="G43" s="94"/>
    </row>
    <row r="44" spans="7:7" s="71" customFormat="1">
      <c r="G44" s="94"/>
    </row>
    <row r="45" spans="7:7" s="71" customFormat="1">
      <c r="G45" s="94"/>
    </row>
    <row r="46" spans="7:7" s="71" customFormat="1">
      <c r="G46" s="94"/>
    </row>
    <row r="47" spans="7:7" s="71" customFormat="1">
      <c r="G47" s="94"/>
    </row>
    <row r="48" spans="7:7" s="71" customFormat="1">
      <c r="G48" s="94"/>
    </row>
    <row r="49" spans="7:7" s="71" customFormat="1">
      <c r="G49" s="94"/>
    </row>
    <row r="50" spans="7:7" s="71" customFormat="1">
      <c r="G50" s="94"/>
    </row>
    <row r="51" spans="7:7" s="71" customFormat="1">
      <c r="G51" s="94"/>
    </row>
    <row r="52" spans="7:7" s="71" customFormat="1">
      <c r="G52" s="94"/>
    </row>
    <row r="53" spans="7:7" s="71" customFormat="1">
      <c r="G53" s="94"/>
    </row>
    <row r="54" spans="7:7" s="71" customFormat="1">
      <c r="G54" s="94"/>
    </row>
    <row r="55" spans="7:7" s="71" customFormat="1">
      <c r="G55" s="94"/>
    </row>
    <row r="56" spans="7:7" s="71" customFormat="1">
      <c r="G56" s="94"/>
    </row>
    <row r="57" spans="7:7" s="71" customFormat="1">
      <c r="G57" s="94"/>
    </row>
    <row r="58" spans="7:7" s="71" customFormat="1">
      <c r="G58" s="94"/>
    </row>
    <row r="59" spans="7:7" s="71" customFormat="1">
      <c r="G59" s="94"/>
    </row>
    <row r="60" spans="7:7" s="71" customFormat="1">
      <c r="G60" s="94"/>
    </row>
    <row r="61" spans="7:7" s="71" customFormat="1">
      <c r="G61" s="94"/>
    </row>
    <row r="62" spans="7:7" s="71" customFormat="1">
      <c r="G62" s="94"/>
    </row>
    <row r="63" spans="7:7" s="71" customFormat="1">
      <c r="G63" s="94"/>
    </row>
    <row r="64" spans="7:7" s="71" customFormat="1">
      <c r="G64" s="94"/>
    </row>
    <row r="65" spans="7:7" s="71" customFormat="1">
      <c r="G65" s="94"/>
    </row>
    <row r="66" spans="7:7" s="71" customFormat="1">
      <c r="G66" s="94"/>
    </row>
    <row r="67" spans="7:7" s="71" customFormat="1">
      <c r="G67" s="94"/>
    </row>
    <row r="68" spans="7:7" s="71" customFormat="1">
      <c r="G68" s="94"/>
    </row>
    <row r="69" spans="7:7" s="71" customFormat="1">
      <c r="G69" s="94"/>
    </row>
    <row r="70" spans="7:7" s="71" customFormat="1">
      <c r="G70" s="94"/>
    </row>
    <row r="71" spans="7:7" s="71" customFormat="1">
      <c r="G71" s="94"/>
    </row>
    <row r="72" spans="7:7" s="71" customFormat="1">
      <c r="G72" s="94"/>
    </row>
    <row r="73" spans="7:7" s="71" customFormat="1">
      <c r="G73" s="94"/>
    </row>
    <row r="74" spans="7:7" s="71" customFormat="1">
      <c r="G74" s="94"/>
    </row>
    <row r="75" spans="7:7" s="71" customFormat="1">
      <c r="G75" s="94"/>
    </row>
    <row r="76" spans="7:7" s="71" customFormat="1">
      <c r="G76" s="94"/>
    </row>
    <row r="77" spans="7:7" s="71" customFormat="1">
      <c r="G77" s="94"/>
    </row>
    <row r="78" spans="7:7" s="71" customFormat="1">
      <c r="G78" s="94"/>
    </row>
    <row r="79" spans="7:7" s="71" customFormat="1">
      <c r="G79" s="94"/>
    </row>
    <row r="80" spans="7:7" s="71" customFormat="1">
      <c r="G80" s="94"/>
    </row>
    <row r="81" spans="7:7" s="71" customFormat="1">
      <c r="G81" s="94"/>
    </row>
    <row r="82" spans="7:7" s="71" customFormat="1">
      <c r="G82" s="94"/>
    </row>
    <row r="83" spans="7:7" s="71" customFormat="1">
      <c r="G83" s="94"/>
    </row>
    <row r="84" spans="7:7" s="71" customFormat="1">
      <c r="G84" s="94"/>
    </row>
    <row r="85" spans="7:7" s="71" customFormat="1">
      <c r="G85" s="94"/>
    </row>
    <row r="86" spans="7:7" s="71" customFormat="1">
      <c r="G86" s="94"/>
    </row>
    <row r="87" spans="7:7" s="71" customFormat="1">
      <c r="G87" s="94"/>
    </row>
    <row r="88" spans="7:7" s="71" customFormat="1">
      <c r="G88" s="94"/>
    </row>
    <row r="89" spans="7:7" s="71" customFormat="1">
      <c r="G89" s="94"/>
    </row>
    <row r="90" spans="7:7" s="71" customFormat="1">
      <c r="G90" s="94"/>
    </row>
    <row r="91" spans="7:7" s="71" customFormat="1">
      <c r="G91" s="94"/>
    </row>
    <row r="92" spans="7:7" s="71" customFormat="1">
      <c r="G92" s="94"/>
    </row>
    <row r="93" spans="7:7" s="71" customFormat="1">
      <c r="G93" s="94"/>
    </row>
    <row r="94" spans="7:7" s="71" customFormat="1">
      <c r="G94" s="94"/>
    </row>
    <row r="95" spans="7:7" s="71" customFormat="1">
      <c r="G95" s="94"/>
    </row>
    <row r="96" spans="7:7" s="71" customFormat="1">
      <c r="G96" s="94"/>
    </row>
    <row r="97" spans="7:7" s="71" customFormat="1">
      <c r="G97" s="94"/>
    </row>
    <row r="98" spans="7:7" s="71" customFormat="1">
      <c r="G98" s="94"/>
    </row>
    <row r="99" spans="7:7" s="71" customFormat="1">
      <c r="G99" s="94"/>
    </row>
    <row r="100" spans="7:7" s="71" customFormat="1">
      <c r="G100" s="94"/>
    </row>
    <row r="101" spans="7:7" s="71" customFormat="1">
      <c r="G101" s="94"/>
    </row>
    <row r="102" spans="7:7" s="71" customFormat="1">
      <c r="G102" s="94"/>
    </row>
    <row r="103" spans="7:7" s="71" customFormat="1">
      <c r="G103" s="94"/>
    </row>
    <row r="104" spans="7:7" s="71" customFormat="1">
      <c r="G104" s="94"/>
    </row>
    <row r="105" spans="7:7" s="71" customFormat="1">
      <c r="G105" s="94"/>
    </row>
    <row r="106" spans="7:7" s="71" customFormat="1">
      <c r="G106" s="94"/>
    </row>
    <row r="107" spans="7:7" s="71" customFormat="1">
      <c r="G107" s="94"/>
    </row>
    <row r="108" spans="7:7" s="71" customFormat="1">
      <c r="G108" s="94"/>
    </row>
    <row r="109" spans="7:7" s="71" customFormat="1">
      <c r="G109" s="94"/>
    </row>
    <row r="110" spans="7:7" s="71" customFormat="1">
      <c r="G110" s="94"/>
    </row>
    <row r="111" spans="7:7" s="71" customFormat="1">
      <c r="G111" s="94"/>
    </row>
    <row r="112" spans="7:7" s="71" customFormat="1">
      <c r="G112" s="94"/>
    </row>
    <row r="113" spans="7:7" s="71" customFormat="1">
      <c r="G113" s="94"/>
    </row>
    <row r="114" spans="7:7" s="71" customFormat="1">
      <c r="G114" s="94"/>
    </row>
    <row r="115" spans="7:7" s="71" customFormat="1">
      <c r="G115" s="94"/>
    </row>
    <row r="116" spans="7:7" s="71" customFormat="1">
      <c r="G116" s="94"/>
    </row>
    <row r="117" spans="7:7" s="71" customFormat="1">
      <c r="G117" s="94"/>
    </row>
    <row r="118" spans="7:7" s="71" customFormat="1">
      <c r="G118" s="94"/>
    </row>
    <row r="119" spans="7:7" s="71" customFormat="1">
      <c r="G119" s="94"/>
    </row>
    <row r="120" spans="7:7" s="71" customFormat="1">
      <c r="G120" s="94"/>
    </row>
    <row r="121" spans="7:7" s="71" customFormat="1">
      <c r="G121" s="94"/>
    </row>
    <row r="122" spans="7:7" s="71" customFormat="1">
      <c r="G122" s="94"/>
    </row>
    <row r="123" spans="7:7" s="71" customFormat="1">
      <c r="G123" s="94"/>
    </row>
    <row r="124" spans="7:7" s="71" customFormat="1">
      <c r="G124" s="94"/>
    </row>
    <row r="125" spans="7:7" s="71" customFormat="1">
      <c r="G125" s="94"/>
    </row>
    <row r="126" spans="7:7" s="71" customFormat="1">
      <c r="G126" s="94"/>
    </row>
    <row r="127" spans="7:7" s="71" customFormat="1">
      <c r="G127" s="94"/>
    </row>
    <row r="128" spans="7:7" s="71" customFormat="1">
      <c r="G128" s="94"/>
    </row>
    <row r="129" spans="7:7" s="71" customFormat="1">
      <c r="G129" s="94"/>
    </row>
    <row r="130" spans="7:7" s="71" customFormat="1">
      <c r="G130" s="94"/>
    </row>
    <row r="131" spans="7:7" s="71" customFormat="1">
      <c r="G131" s="94"/>
    </row>
    <row r="132" spans="7:7" s="71" customFormat="1">
      <c r="G132" s="94"/>
    </row>
    <row r="133" spans="7:7" s="71" customFormat="1">
      <c r="G133" s="94"/>
    </row>
    <row r="134" spans="7:7" s="71" customFormat="1">
      <c r="G134" s="94"/>
    </row>
    <row r="135" spans="7:7" s="71" customFormat="1">
      <c r="G135" s="94"/>
    </row>
    <row r="136" spans="7:7" s="71" customFormat="1">
      <c r="G136" s="94"/>
    </row>
    <row r="137" spans="7:7" s="71" customFormat="1">
      <c r="G137" s="94"/>
    </row>
    <row r="138" spans="7:7" s="71" customFormat="1">
      <c r="G138" s="94"/>
    </row>
    <row r="139" spans="7:7" s="71" customFormat="1">
      <c r="G139" s="94"/>
    </row>
    <row r="140" spans="7:7" s="71" customFormat="1">
      <c r="G140" s="94"/>
    </row>
    <row r="141" spans="7:7" s="71" customFormat="1">
      <c r="G141" s="94"/>
    </row>
    <row r="142" spans="7:7" s="71" customFormat="1">
      <c r="G142" s="94"/>
    </row>
    <row r="143" spans="7:7" s="71" customFormat="1">
      <c r="G143" s="94"/>
    </row>
    <row r="144" spans="7:7" s="71" customFormat="1">
      <c r="G144" s="94"/>
    </row>
    <row r="145" spans="7:7" s="71" customFormat="1">
      <c r="G145" s="94"/>
    </row>
    <row r="146" spans="7:7" s="71" customFormat="1">
      <c r="G146" s="94"/>
    </row>
    <row r="147" spans="7:7" s="71" customFormat="1">
      <c r="G147" s="94"/>
    </row>
    <row r="148" spans="7:7" s="71" customFormat="1">
      <c r="G148" s="94"/>
    </row>
    <row r="149" spans="7:7" s="71" customFormat="1">
      <c r="G149" s="94"/>
    </row>
    <row r="150" spans="7:7" s="71" customFormat="1">
      <c r="G150" s="94"/>
    </row>
    <row r="151" spans="7:7" s="71" customFormat="1">
      <c r="G151" s="94"/>
    </row>
    <row r="152" spans="7:7" s="71" customFormat="1">
      <c r="G152" s="94"/>
    </row>
    <row r="153" spans="7:7" s="71" customFormat="1">
      <c r="G153" s="94"/>
    </row>
    <row r="154" spans="7:7" s="71" customFormat="1">
      <c r="G154" s="94"/>
    </row>
    <row r="155" spans="7:7" s="71" customFormat="1">
      <c r="G155" s="94"/>
    </row>
    <row r="156" spans="7:7" s="71" customFormat="1">
      <c r="G156" s="94"/>
    </row>
    <row r="157" spans="7:7" s="71" customFormat="1">
      <c r="G157" s="94"/>
    </row>
    <row r="158" spans="7:7" s="71" customFormat="1">
      <c r="G158" s="94"/>
    </row>
    <row r="159" spans="7:7" s="71" customFormat="1">
      <c r="G159" s="94"/>
    </row>
    <row r="160" spans="7:7" s="71" customFormat="1">
      <c r="G160" s="94"/>
    </row>
    <row r="161" spans="7:7" s="71" customFormat="1">
      <c r="G161" s="94"/>
    </row>
    <row r="162" spans="7:7" s="71" customFormat="1">
      <c r="G162" s="94"/>
    </row>
    <row r="163" spans="7:7" s="71" customFormat="1">
      <c r="G163" s="94"/>
    </row>
    <row r="164" spans="7:7" s="71" customFormat="1">
      <c r="G164" s="94"/>
    </row>
    <row r="165" spans="7:7" s="71" customFormat="1">
      <c r="G165" s="94"/>
    </row>
    <row r="166" spans="7:7" s="71" customFormat="1">
      <c r="G166" s="94"/>
    </row>
    <row r="167" spans="7:7" s="71" customFormat="1">
      <c r="G167" s="94"/>
    </row>
    <row r="168" spans="7:7" s="71" customFormat="1">
      <c r="G168" s="94"/>
    </row>
    <row r="169" spans="7:7" s="71" customFormat="1">
      <c r="G169" s="94"/>
    </row>
    <row r="170" spans="7:7" s="71" customFormat="1">
      <c r="G170" s="94"/>
    </row>
    <row r="171" spans="7:7" s="71" customFormat="1">
      <c r="G171" s="94"/>
    </row>
    <row r="172" spans="7:7" s="71" customFormat="1">
      <c r="G172" s="94"/>
    </row>
    <row r="173" spans="7:7" s="71" customFormat="1">
      <c r="G173" s="94"/>
    </row>
    <row r="174" spans="7:7" s="71" customFormat="1">
      <c r="G174" s="94"/>
    </row>
    <row r="175" spans="7:7" s="71" customFormat="1">
      <c r="G175" s="94"/>
    </row>
    <row r="176" spans="7:7" s="71" customFormat="1">
      <c r="G176" s="94"/>
    </row>
    <row r="177" spans="1:7" s="71" customFormat="1">
      <c r="G177" s="94"/>
    </row>
    <row r="178" spans="1:7" s="71" customFormat="1">
      <c r="G178" s="94"/>
    </row>
    <row r="179" spans="1:7" s="71" customFormat="1">
      <c r="A179" s="73"/>
      <c r="G179" s="94"/>
    </row>
  </sheetData>
  <mergeCells count="11">
    <mergeCell ref="H6:H8"/>
    <mergeCell ref="E4:F4"/>
    <mergeCell ref="E6:E8"/>
    <mergeCell ref="F6:F9"/>
    <mergeCell ref="C6:C8"/>
    <mergeCell ref="D6:D9"/>
    <mergeCell ref="A11:A12"/>
    <mergeCell ref="A14:A17"/>
    <mergeCell ref="A3:C3"/>
    <mergeCell ref="A4:B10"/>
    <mergeCell ref="C4:D4"/>
  </mergeCells>
  <conditionalFormatting sqref="D21:D22 D18:D19 F21:I22 F18:I19">
    <cfRule type="cellIs" dxfId="6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40" orientation="landscape" useFirstPageNumber="1" r:id="rId1"/>
  <headerFooter>
    <oddFooter>&amp;L&amp;P&amp;R&amp;22&amp;G</oddFooter>
  </headerFooter>
  <rowBreaks count="1" manualBreakCount="1">
    <brk id="23" max="17" man="1"/>
  </row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28">
    <tabColor rgb="FF92D050"/>
  </sheetPr>
  <dimension ref="A1:R36"/>
  <sheetViews>
    <sheetView view="pageBreakPreview" zoomScale="70" zoomScaleNormal="55" zoomScaleSheetLayoutView="70" zoomScalePageLayoutView="70" workbookViewId="0">
      <pane ySplit="1" topLeftCell="A19" activePane="bottomLeft" state="frozen"/>
      <selection pane="bottomLeft" activeCell="S45" sqref="S45"/>
    </sheetView>
  </sheetViews>
  <sheetFormatPr defaultColWidth="8.42578125" defaultRowHeight="12.75"/>
  <cols>
    <col min="1" max="1" width="9" style="73" customWidth="1"/>
    <col min="2" max="2" width="19.7109375" style="73" customWidth="1"/>
    <col min="3" max="5" width="10.7109375" style="73" customWidth="1"/>
    <col min="6" max="6" width="13.7109375" style="73" customWidth="1"/>
    <col min="7" max="16" width="10.7109375" style="73" customWidth="1"/>
    <col min="17" max="17" width="29.7109375" style="73" customWidth="1"/>
    <col min="18" max="20" width="25.7109375" style="73" customWidth="1"/>
    <col min="21" max="21" width="19.85546875" style="73" customWidth="1"/>
    <col min="22" max="22" width="8.42578125" style="73"/>
    <col min="23" max="26" width="17.140625" style="73" customWidth="1"/>
    <col min="27" max="16384" width="8.42578125" style="73"/>
  </cols>
  <sheetData>
    <row r="1" spans="1:18" s="1035" customFormat="1" ht="18.75" customHeight="1">
      <c r="B1" s="1034" t="s">
        <v>307</v>
      </c>
      <c r="C1" s="1041"/>
    </row>
    <row r="2" spans="1:18" ht="18.75" customHeight="1"/>
    <row r="3" spans="1:18" ht="15.75">
      <c r="A3" s="799" t="s">
        <v>496</v>
      </c>
      <c r="B3" s="798"/>
      <c r="K3" s="798"/>
      <c r="L3" s="798"/>
      <c r="M3" s="798"/>
      <c r="N3" s="798"/>
      <c r="O3" s="365"/>
      <c r="P3" s="365"/>
    </row>
    <row r="4" spans="1:18" ht="18.75" customHeight="1">
      <c r="A4" s="3440" t="s">
        <v>66</v>
      </c>
      <c r="B4" s="3441"/>
      <c r="C4" s="3447" t="s">
        <v>266</v>
      </c>
      <c r="D4" s="3448"/>
      <c r="E4" s="3448"/>
      <c r="F4" s="3448"/>
      <c r="G4" s="3448"/>
      <c r="H4" s="3448"/>
      <c r="I4" s="3448"/>
      <c r="J4" s="3448"/>
      <c r="K4" s="3448"/>
      <c r="L4" s="3448"/>
      <c r="M4" s="3448"/>
      <c r="N4" s="3448"/>
      <c r="O4" s="3448"/>
      <c r="P4" s="3448"/>
      <c r="Q4" s="3448"/>
    </row>
    <row r="5" spans="1:18" ht="112.5" customHeight="1">
      <c r="A5" s="3442"/>
      <c r="B5" s="3443"/>
      <c r="C5" s="791"/>
      <c r="D5" s="792"/>
      <c r="E5" s="792"/>
      <c r="F5" s="793"/>
      <c r="G5" s="791"/>
      <c r="H5" s="792"/>
      <c r="I5" s="792"/>
      <c r="J5" s="793"/>
      <c r="K5" s="791"/>
      <c r="L5" s="792"/>
      <c r="M5" s="793"/>
      <c r="N5" s="794"/>
      <c r="O5" s="795"/>
      <c r="P5" s="796"/>
      <c r="Q5" s="797"/>
    </row>
    <row r="6" spans="1:18" ht="18.75" customHeight="1">
      <c r="A6" s="3444"/>
      <c r="B6" s="3445"/>
      <c r="C6" s="3447" t="s">
        <v>270</v>
      </c>
      <c r="D6" s="3448"/>
      <c r="E6" s="3448"/>
      <c r="F6" s="3449"/>
      <c r="G6" s="3447" t="s">
        <v>271</v>
      </c>
      <c r="H6" s="3448"/>
      <c r="I6" s="3448"/>
      <c r="J6" s="3449"/>
      <c r="K6" s="3447" t="s">
        <v>268</v>
      </c>
      <c r="L6" s="3448"/>
      <c r="M6" s="3449"/>
      <c r="N6" s="3447" t="s">
        <v>269</v>
      </c>
      <c r="O6" s="3448"/>
      <c r="P6" s="3449"/>
      <c r="Q6" s="439" t="s">
        <v>272</v>
      </c>
    </row>
    <row r="7" spans="1:18" ht="22.5">
      <c r="A7" s="3463" t="s">
        <v>1211</v>
      </c>
      <c r="B7" s="3463"/>
      <c r="C7" s="756" t="s">
        <v>290</v>
      </c>
      <c r="D7" s="756" t="s">
        <v>289</v>
      </c>
      <c r="E7" s="756" t="s">
        <v>288</v>
      </c>
      <c r="F7" s="756" t="s">
        <v>292</v>
      </c>
      <c r="G7" s="756" t="s">
        <v>290</v>
      </c>
      <c r="H7" s="756" t="s">
        <v>289</v>
      </c>
      <c r="I7" s="756" t="s">
        <v>288</v>
      </c>
      <c r="J7" s="756" t="s">
        <v>293</v>
      </c>
      <c r="K7" s="756" t="s">
        <v>290</v>
      </c>
      <c r="L7" s="756" t="s">
        <v>289</v>
      </c>
      <c r="M7" s="756" t="s">
        <v>288</v>
      </c>
      <c r="N7" s="756" t="s">
        <v>290</v>
      </c>
      <c r="O7" s="756" t="s">
        <v>289</v>
      </c>
      <c r="P7" s="756" t="s">
        <v>288</v>
      </c>
      <c r="Q7" s="756" t="s">
        <v>291</v>
      </c>
      <c r="R7" s="77"/>
    </row>
    <row r="8" spans="1:18" ht="42.75" hidden="1" customHeight="1">
      <c r="A8" s="3405" t="s">
        <v>946</v>
      </c>
      <c r="B8" s="1141" t="s">
        <v>1217</v>
      </c>
      <c r="C8" s="783">
        <f>CEILING('Погонаж база'!BQ13*(1+скидки_наценки!$B$28)*скидки_наценки!$D$19*скидки_наценки!$F$19/скидки_наценки!$B$4, 50)</f>
        <v>0</v>
      </c>
      <c r="D8" s="783">
        <f>CEILING('Погонаж база'!BR13*(1+скидки_наценки!$B$28)*скидки_наценки!$D$19*скидки_наценки!$F$19/скидки_наценки!$B$4, 50)</f>
        <v>0</v>
      </c>
      <c r="E8" s="783">
        <f>CEILING('Погонаж база'!BS13*(1+скидки_наценки!$B$28)*скидки_наценки!$D$19*скидки_наценки!$F$19/скидки_наценки!$B$4, 50)</f>
        <v>0</v>
      </c>
      <c r="F8" s="783">
        <f>CEILING('Погонаж база'!BT13*(1+скидки_наценки!$B$28)*скидки_наценки!$D$19*скидки_наценки!$F$19/скидки_наценки!$B$4, 50)</f>
        <v>0</v>
      </c>
      <c r="G8" s="783">
        <f>CEILING('Погонаж база'!BU13*(1+скидки_наценки!$B$28)*скидки_наценки!$D$19*скидки_наценки!$F$19/скидки_наценки!$B$4, 50)</f>
        <v>0</v>
      </c>
      <c r="H8" s="783">
        <f>CEILING('Погонаж база'!BV13*(1+скидки_наценки!$B$28)*скидки_наценки!$D$19*скидки_наценки!$F$19/скидки_наценки!$B$4, 50)</f>
        <v>0</v>
      </c>
      <c r="I8" s="783">
        <f>CEILING('Погонаж база'!BW13*(1+скидки_наценки!$B$28)*скидки_наценки!$D$19*скидки_наценки!$F$19/скидки_наценки!$B$4, 50)</f>
        <v>0</v>
      </c>
      <c r="J8" s="783">
        <f>CEILING('Погонаж база'!BX13*(1+скидки_наценки!$B$28)*скидки_наценки!$D$19*скидки_наценки!$F$19/скидки_наценки!$B$4, 50)</f>
        <v>0</v>
      </c>
      <c r="K8" s="1080" t="s">
        <v>1311</v>
      </c>
      <c r="L8" s="1080" t="s">
        <v>1311</v>
      </c>
      <c r="M8" s="1080" t="s">
        <v>1311</v>
      </c>
      <c r="N8" s="783">
        <f>CEILING('Погонаж база'!CB13*(1+скидки_наценки!$B$28)*скидки_наценки!$D$19*скидки_наценки!$F$19/скидки_наценки!$B$4, 50)</f>
        <v>0</v>
      </c>
      <c r="O8" s="783">
        <f>CEILING('Погонаж база'!CC13*(1+скидки_наценки!$B$28)*скидки_наценки!$D$19*скидки_наценки!$F$19/скидки_наценки!$B$4, 50)</f>
        <v>0</v>
      </c>
      <c r="P8" s="783">
        <f>CEILING('Погонаж база'!CD13*(1+скидки_наценки!$B$28)*скидки_наценки!$D$19*скидки_наценки!$F$19/скидки_наценки!$B$4, 50)</f>
        <v>0</v>
      </c>
      <c r="Q8" s="783">
        <f>CEILING('Погонаж база'!CE13*(1+скидки_наценки!$B$28)*скидки_наценки!$D$19*скидки_наценки!$F$19/скидки_наценки!$B$4, 50)</f>
        <v>0</v>
      </c>
    </row>
    <row r="9" spans="1:18" ht="42.75" hidden="1" customHeight="1">
      <c r="A9" s="3405"/>
      <c r="B9" s="1142" t="s">
        <v>1218</v>
      </c>
      <c r="C9" s="1080">
        <f>CEILING('Погонаж база'!BQ14*(1+скидки_наценки!$B$28)*скидки_наценки!$D$19*скидки_наценки!$F$19/скидки_наценки!$B$4, 50)</f>
        <v>0</v>
      </c>
      <c r="D9" s="1080">
        <f>CEILING('Погонаж база'!BR14*(1+скидки_наценки!$B$28)*скидки_наценки!$D$19*скидки_наценки!$F$19/скидки_наценки!$B$4, 50)</f>
        <v>0</v>
      </c>
      <c r="E9" s="1080">
        <f>CEILING('Погонаж база'!BS14*(1+скидки_наценки!$B$28)*скидки_наценки!$D$19*скидки_наценки!$F$19/скидки_наценки!$B$4, 50)</f>
        <v>0</v>
      </c>
      <c r="F9" s="1080">
        <f>CEILING('Погонаж база'!BT14*(1+скидки_наценки!$B$28)*скидки_наценки!$D$19*скидки_наценки!$F$19/скидки_наценки!$B$4, 50)</f>
        <v>0</v>
      </c>
      <c r="G9" s="364">
        <f t="shared" ref="G9:P9" si="0">CEILING(G8*1.07, 50)</f>
        <v>0</v>
      </c>
      <c r="H9" s="364">
        <f t="shared" si="0"/>
        <v>0</v>
      </c>
      <c r="I9" s="364">
        <f t="shared" si="0"/>
        <v>0</v>
      </c>
      <c r="J9" s="364">
        <f t="shared" si="0"/>
        <v>0</v>
      </c>
      <c r="K9" s="364" t="s">
        <v>1311</v>
      </c>
      <c r="L9" s="364" t="s">
        <v>1311</v>
      </c>
      <c r="M9" s="364" t="s">
        <v>1311</v>
      </c>
      <c r="N9" s="364">
        <f t="shared" si="0"/>
        <v>0</v>
      </c>
      <c r="O9" s="364">
        <f t="shared" si="0"/>
        <v>0</v>
      </c>
      <c r="P9" s="364">
        <f t="shared" si="0"/>
        <v>0</v>
      </c>
      <c r="Q9" s="364">
        <f>CEILING(Q8*1.07, 50)</f>
        <v>0</v>
      </c>
    </row>
    <row r="10" spans="1:18" ht="42.75" customHeight="1">
      <c r="A10" s="1143" t="s">
        <v>28</v>
      </c>
      <c r="B10" s="1141" t="s">
        <v>207</v>
      </c>
      <c r="C10" s="783">
        <f>'Погонаж база'!BQ15*(1+скидки_наценки!$B$30)*скидки_наценки!$D$19*скидки_наценки!$F$19/скидки_наценки!$B$4</f>
        <v>1000</v>
      </c>
      <c r="D10" s="783">
        <f>'Погонаж база'!BR15*(1+скидки_наценки!$B$30)*скидки_наценки!$D$19*скидки_наценки!$F$19/скидки_наценки!$B$4</f>
        <v>1050</v>
      </c>
      <c r="E10" s="783">
        <f>'Погонаж база'!BS15*(1+скидки_наценки!$B$30)*скидки_наценки!$D$19*скидки_наценки!$F$19/скидки_наценки!$B$4</f>
        <v>1110</v>
      </c>
      <c r="F10" s="783">
        <f>'Погонаж база'!BT15*(1+скидки_наценки!$B$30)*скидки_наценки!$D$19*скидки_наценки!$F$19/скидки_наценки!$B$4</f>
        <v>1170</v>
      </c>
      <c r="G10" s="783">
        <f>'Погонаж база'!BU15*(1+скидки_наценки!$B$30)*скидки_наценки!$D$19*скидки_наценки!$F$19/скидки_наценки!$B$4</f>
        <v>1050</v>
      </c>
      <c r="H10" s="783">
        <f>'Погонаж база'!BV15*(1+скидки_наценки!$B$30)*скидки_наценки!$D$19*скидки_наценки!$F$19/скидки_наценки!$B$4</f>
        <v>1110</v>
      </c>
      <c r="I10" s="783">
        <f>'Погонаж база'!BW15*(1+скидки_наценки!$B$30)*скидки_наценки!$D$19*скидки_наценки!$F$19/скидки_наценки!$B$4</f>
        <v>1170</v>
      </c>
      <c r="J10" s="783">
        <f>'Погонаж база'!BX15*(1+скидки_наценки!$B$30)*скидки_наценки!$D$19*скидки_наценки!$F$19/скидки_наценки!$B$4</f>
        <v>1230</v>
      </c>
      <c r="K10" s="783">
        <f>'Погонаж база'!BY15*(1+скидки_наценки!$B$30)*скидки_наценки!$D$19*скидки_наценки!$F$19/скидки_наценки!$B$4</f>
        <v>1100</v>
      </c>
      <c r="L10" s="1080">
        <f>'Погонаж база'!CA15*(1+скидки_наценки!$B$30)*скидки_наценки!$D$19*скидки_наценки!$F$19/скидки_наценки!$B$4</f>
        <v>1230</v>
      </c>
      <c r="M10" s="1080">
        <f>'Погонаж база'!BZ15*(1+скидки_наценки!$B$30)*скидки_наценки!$D$19*скидки_наценки!$F$19/скидки_наценки!$B$4</f>
        <v>1160</v>
      </c>
      <c r="N10" s="783">
        <f>'Погонаж база'!CB15*(1+скидки_наценки!$B$30)*скидки_наценки!$D$19*скидки_наценки!$F$19/скидки_наценки!$B$4</f>
        <v>1100</v>
      </c>
      <c r="O10" s="783">
        <f>L10</f>
        <v>1230</v>
      </c>
      <c r="P10" s="783">
        <f>M10</f>
        <v>1160</v>
      </c>
      <c r="Q10" s="783">
        <f>'Погонаж база'!CE15*(1+скидки_наценки!$B$30)*скидки_наценки!$D$19*скидки_наценки!$F$19/скидки_наценки!$B$4</f>
        <v>1420</v>
      </c>
      <c r="R10" s="73" t="s">
        <v>4</v>
      </c>
    </row>
    <row r="11" spans="1:18" ht="42.75" customHeight="1">
      <c r="A11" s="3467" t="s">
        <v>25</v>
      </c>
      <c r="B11" s="1142" t="s">
        <v>1292</v>
      </c>
      <c r="C11" s="364">
        <f>'Погонаж база'!BQ16*(1+скидки_наценки!$B$29)*скидки_наценки!$D$19*скидки_наценки!$F$19/скидки_наценки!$B$4</f>
        <v>1050</v>
      </c>
      <c r="D11" s="2173">
        <f>'Погонаж база'!BR16*(1+скидки_наценки!$B$29)*скидки_наценки!$D$19*скидки_наценки!$F$19/скидки_наценки!$B$4</f>
        <v>1150</v>
      </c>
      <c r="E11" s="364">
        <f>'Погонаж база'!BS16*(1+скидки_наценки!$B$29)*скидки_наценки!$D$19*скидки_наценки!$F$19/скидки_наценки!$B$4</f>
        <v>1200</v>
      </c>
      <c r="F11" s="364">
        <f>'Погонаж база'!BT16*(1+скидки_наценки!$B$29)*скидки_наценки!$D$19*скидки_наценки!$F$19/скидки_наценки!$B$4</f>
        <v>1250</v>
      </c>
      <c r="G11" s="364" t="s">
        <v>1311</v>
      </c>
      <c r="H11" s="364" t="s">
        <v>1311</v>
      </c>
      <c r="I11" s="364" t="s">
        <v>1311</v>
      </c>
      <c r="J11" s="364" t="s">
        <v>1311</v>
      </c>
      <c r="K11" s="364">
        <f>'Погонаж база'!BY16*(1+скидки_наценки!$B$29)*скидки_наценки!$D$19*скидки_наценки!$F$19/скидки_наценки!$B$4</f>
        <v>1200</v>
      </c>
      <c r="L11" s="364">
        <f>'Погонаж база'!CA16*(1+скидки_наценки!$B$29)*скидки_наценки!$D$19*скидки_наценки!$F$19/скидки_наценки!$B$4</f>
        <v>1300</v>
      </c>
      <c r="M11" s="364">
        <f>'Погонаж база'!BZ16*(1+скидки_наценки!$B$29)*скидки_наценки!$D$19*скидки_наценки!$F$19/скидки_наценки!$B$4</f>
        <v>1250</v>
      </c>
      <c r="N11" s="364">
        <f>'Погонаж база'!CB16*(1+скидки_наценки!$B$29)*скидки_наценки!$D$19*скидки_наценки!$F$19/скидки_наценки!$B$4</f>
        <v>1200</v>
      </c>
      <c r="O11" s="364">
        <f t="shared" ref="O11:O13" si="1">L11</f>
        <v>1300</v>
      </c>
      <c r="P11" s="364">
        <f t="shared" ref="P11:P13" si="2">M11</f>
        <v>1250</v>
      </c>
      <c r="Q11" s="364">
        <f>CEILING('Погонаж база'!CE16*(1+скидки_наценки!$B$29)*скидки_наценки!$D$19*скидки_наценки!$F$19/скидки_наценки!$B$4, 50)</f>
        <v>0</v>
      </c>
      <c r="R11" s="73" t="s">
        <v>4</v>
      </c>
    </row>
    <row r="12" spans="1:18" ht="42.75" customHeight="1">
      <c r="A12" s="3467"/>
      <c r="B12" s="1141" t="s">
        <v>1287</v>
      </c>
      <c r="C12" s="1080">
        <f>'Погонаж база'!BQ17*(1+скидки_наценки!$B$29)*скидки_наценки!$D$19*скидки_наценки!$F$19/скидки_наценки!$B$4</f>
        <v>1150</v>
      </c>
      <c r="D12" s="1080">
        <f>'Погонаж база'!BR17*(1+скидки_наценки!$B$29)*скидки_наценки!$D$19*скидки_наценки!$F$19/скидки_наценки!$B$4</f>
        <v>1200</v>
      </c>
      <c r="E12" s="1080">
        <f>'Погонаж база'!BS17*(1+скидки_наценки!$B$29)*скидки_наценки!$D$19*скидки_наценки!$F$19/скидки_наценки!$B$4</f>
        <v>1300</v>
      </c>
      <c r="F12" s="1080">
        <f>'Погонаж база'!BT17*(1+скидки_наценки!$B$29)*скидки_наценки!$D$19*скидки_наценки!$F$19/скидки_наценки!$B$4</f>
        <v>1350</v>
      </c>
      <c r="G12" s="1080">
        <f>'Погонаж база'!BU17*(1+скидки_наценки!$B$29)*скидки_наценки!$D$19*скидки_наценки!$F$19/скидки_наценки!$B$4</f>
        <v>1200</v>
      </c>
      <c r="H12" s="1080">
        <f>'Погонаж база'!BV17*(1+скидки_наценки!$B$29)*скидки_наценки!$D$19*скидки_наценки!$F$19/скидки_наценки!$B$4</f>
        <v>1300</v>
      </c>
      <c r="I12" s="1080">
        <f>'Погонаж база'!BW17*(1+скидки_наценки!$B$29)*скидки_наценки!$D$19*скидки_наценки!$F$19/скидки_наценки!$B$4</f>
        <v>1350</v>
      </c>
      <c r="J12" s="1080">
        <f>'Погонаж база'!BX17*(1+скидки_наценки!$B$29)*скидки_наценки!$D$19*скидки_наценки!$F$19/скидки_наценки!$B$4</f>
        <v>1400</v>
      </c>
      <c r="K12" s="1080">
        <f>'Погонаж база'!BY17*(1+скидки_наценки!$B$29)*скидки_наценки!$D$19*скидки_наценки!$F$19/скидки_наценки!$B$4</f>
        <v>1250</v>
      </c>
      <c r="L12" s="1080">
        <f>'Погонаж база'!CA17*(1+скидки_наценки!$B$29)*скидки_наценки!$D$19*скидки_наценки!$F$19/скидки_наценки!$B$4</f>
        <v>1400</v>
      </c>
      <c r="M12" s="1080">
        <f>'Погонаж база'!BZ17*(1+скидки_наценки!$B$29)*скидки_наценки!$D$19*скидки_наценки!$F$19/скидки_наценки!$B$4</f>
        <v>1350</v>
      </c>
      <c r="N12" s="1080">
        <f>'Погонаж база'!CB17*(1+скидки_наценки!$B$29)*скидки_наценки!$D$19*скидки_наценки!$F$19/скидки_наценки!$B$4</f>
        <v>1250</v>
      </c>
      <c r="O12" s="1080">
        <f t="shared" si="1"/>
        <v>1400</v>
      </c>
      <c r="P12" s="1080">
        <f t="shared" si="2"/>
        <v>1350</v>
      </c>
      <c r="Q12" s="1080">
        <f>CEILING('Погонаж база'!CE17*(1+скидки_наценки!$B$29)*скидки_наценки!$D$19*скидки_наценки!$F$19/скидки_наценки!$B$4, 50)</f>
        <v>0</v>
      </c>
      <c r="R12" s="73" t="s">
        <v>4</v>
      </c>
    </row>
    <row r="13" spans="1:18" ht="42.75" customHeight="1">
      <c r="A13" s="3467"/>
      <c r="B13" s="1142" t="s">
        <v>1294</v>
      </c>
      <c r="C13" s="364">
        <f>'Погонаж база'!BQ19*(1+скидки_наценки!$B$29)*скидки_наценки!$D$19*скидки_наценки!$F$19/скидки_наценки!$B$4</f>
        <v>1250</v>
      </c>
      <c r="D13" s="364">
        <f>'Погонаж база'!BR19*(1+скидки_наценки!$B$29)*скидки_наценки!$D$19*скидки_наценки!$F$19/скидки_наценки!$B$4</f>
        <v>1300</v>
      </c>
      <c r="E13" s="364">
        <f>'Погонаж база'!BS19*(1+скидки_наценки!$B$29)*скидки_наценки!$D$19*скидки_наценки!$F$19/скидки_наценки!$B$4</f>
        <v>1400</v>
      </c>
      <c r="F13" s="364">
        <f>'Погонаж база'!BT19*(1+скидки_наценки!$B$29)*скидки_наценки!$D$19*скидки_наценки!$F$19/скидки_наценки!$B$4</f>
        <v>1450</v>
      </c>
      <c r="G13" s="364">
        <f>'Погонаж база'!BU19*(1+скидки_наценки!$B$29)*скидки_наценки!$D$19*скидки_наценки!$F$19/скидки_наценки!$B$4</f>
        <v>1300</v>
      </c>
      <c r="H13" s="364">
        <f>'Погонаж база'!BV19*(1+скидки_наценки!$B$29)*скидки_наценки!$D$19*скидки_наценки!$F$19/скидки_наценки!$B$4</f>
        <v>1400</v>
      </c>
      <c r="I13" s="364">
        <f>'Погонаж база'!BW19*(1+скидки_наценки!$B$29)*скидки_наценки!$D$19*скидки_наценки!$F$19/скидки_наценки!$B$4</f>
        <v>1450</v>
      </c>
      <c r="J13" s="364">
        <f>'Погонаж база'!BX19*(1+скидки_наценки!$B$29)*скидки_наценки!$D$19*скидки_наценки!$F$19/скидки_наценки!$B$4</f>
        <v>1550</v>
      </c>
      <c r="K13" s="364">
        <f>'Погонаж база'!BY19*(1+скидки_наценки!$B$29)*скидки_наценки!$D$19*скидки_наценки!$F$19/скидки_наценки!$B$4</f>
        <v>1400</v>
      </c>
      <c r="L13" s="364">
        <f>'Погонаж база'!CA19*(1+скидки_наценки!$B$29)*скидки_наценки!$D$19*скидки_наценки!$F$19/скидки_наценки!$B$4</f>
        <v>1550</v>
      </c>
      <c r="M13" s="364">
        <f>'Погонаж база'!BZ19*(1+скидки_наценки!$B$29)*скидки_наценки!$D$19*скидки_наценки!$F$19/скидки_наценки!$B$4</f>
        <v>1450</v>
      </c>
      <c r="N13" s="364">
        <f>'Погонаж база'!CB19*(1+скидки_наценки!$B$29)*скидки_наценки!$D$19*скидки_наценки!$F$19/скидки_наценки!$B$4</f>
        <v>1400</v>
      </c>
      <c r="O13" s="364">
        <f t="shared" si="1"/>
        <v>1550</v>
      </c>
      <c r="P13" s="364">
        <f t="shared" si="2"/>
        <v>1450</v>
      </c>
      <c r="Q13" s="364">
        <f>CEILING(Q12*1.15, 50)</f>
        <v>0</v>
      </c>
      <c r="R13" s="73" t="s">
        <v>4</v>
      </c>
    </row>
    <row r="14" spans="1:18" ht="15">
      <c r="B14" s="809"/>
    </row>
    <row r="15" spans="1:18" ht="27.75" hidden="1" customHeight="1">
      <c r="A15" s="3562" t="s">
        <v>208</v>
      </c>
      <c r="B15" s="3563"/>
      <c r="C15" s="364">
        <f>IFERROR(#REF!/(1-#REF!)*#REF!*скидки_наценки!$D$13*скидки_наценки!$F$13,0)</f>
        <v>0</v>
      </c>
      <c r="D15" s="364">
        <f>IFERROR(#REF!/(1-#REF!)*#REF!*скидки_наценки!$D$13*скидки_наценки!$F$13,0)</f>
        <v>0</v>
      </c>
      <c r="E15" s="364">
        <f>IFERROR(#REF!/(1-#REF!)*#REF!*скидки_наценки!$D$13*скидки_наценки!$F$13,0)</f>
        <v>0</v>
      </c>
      <c r="F15" s="364">
        <f>IFERROR(#REF!/(1-#REF!)*#REF!*скидки_наценки!$D$13*скидки_наценки!$F$13,0)</f>
        <v>0</v>
      </c>
      <c r="G15" s="364">
        <f>IFERROR(#REF!/(1-#REF!)*#REF!*скидки_наценки!$D$13*скидки_наценки!$F$13,0)</f>
        <v>0</v>
      </c>
      <c r="H15" s="364">
        <f>IFERROR(#REF!/(1-#REF!)*#REF!*скидки_наценки!$D$13*скидки_наценки!$F$13,0)</f>
        <v>0</v>
      </c>
      <c r="I15" s="364">
        <f>IFERROR(#REF!/(1-#REF!)*#REF!*скидки_наценки!$D$13*скидки_наценки!$F$13,0)</f>
        <v>0</v>
      </c>
      <c r="J15" s="364">
        <f>IFERROR(#REF!/(1-#REF!)*#REF!*скидки_наценки!$D$13*скидки_наценки!$F$13,0)</f>
        <v>0</v>
      </c>
      <c r="K15" s="364" t="e">
        <f>CEILING(#REF!*(1+скидки_наценки!$B$32)*скидки_наценки!$D$21*скидки_наценки!$F$21/скидки_наценки!$B$4, 50)</f>
        <v>#REF!</v>
      </c>
      <c r="L15" s="364" t="e">
        <f>CEILING(#REF!*(1+скидки_наценки!$B$32)*скидки_наценки!$D$21*скидки_наценки!$F$21/скидки_наценки!$B$4, 50)</f>
        <v>#REF!</v>
      </c>
      <c r="M15" s="364" t="e">
        <f>CEILING(#REF!*(1+скидки_наценки!$B$32)*скидки_наценки!$D$21*скидки_наценки!$F$21/скидки_наценки!$B$4, 50)</f>
        <v>#REF!</v>
      </c>
      <c r="N15" s="364" t="e">
        <f>CEILING(#REF!*(1+скидки_наценки!$B$32)*скидки_наценки!$D$21*скидки_наценки!$F$21/скидки_наценки!$B$4, 50)</f>
        <v>#REF!</v>
      </c>
      <c r="O15" s="364" t="e">
        <f>CEILING(#REF!*(1+скидки_наценки!$B$32)*скидки_наценки!$D$21*скидки_наценки!$F$21/скидки_наценки!$B$4, 50)</f>
        <v>#REF!</v>
      </c>
      <c r="P15" s="364" t="e">
        <f>CEILING(#REF!*(1+скидки_наценки!$B$32)*скидки_наценки!$D$21*скидки_наценки!$F$21/скидки_наценки!$B$4, 50)</f>
        <v>#REF!</v>
      </c>
      <c r="Q15" s="364" t="e">
        <f>CEILING(#REF!*(1+скидки_наценки!$B$32)*скидки_наценки!$D$21*скидки_наценки!$F$21/скидки_наценки!$B$4, 50)</f>
        <v>#REF!</v>
      </c>
    </row>
    <row r="16" spans="1:18" ht="27.75" customHeight="1">
      <c r="A16" s="231"/>
      <c r="B16" s="2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</row>
    <row r="17" spans="1:18" ht="15.75">
      <c r="A17" s="17"/>
      <c r="B17" s="17" t="s">
        <v>27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8" ht="15">
      <c r="A18" s="228" t="s">
        <v>1755</v>
      </c>
      <c r="B18" s="11"/>
    </row>
    <row r="19" spans="1:18">
      <c r="B19" s="71"/>
    </row>
    <row r="20" spans="1:18" ht="18.75" customHeight="1"/>
    <row r="21" spans="1:18" ht="15.75">
      <c r="A21" s="799" t="s">
        <v>997</v>
      </c>
      <c r="B21" s="798"/>
      <c r="K21" s="798"/>
      <c r="L21" s="798"/>
      <c r="M21" s="798"/>
      <c r="N21" s="798"/>
      <c r="O21" s="268"/>
      <c r="P21" s="268"/>
    </row>
    <row r="22" spans="1:18" ht="18.75" customHeight="1">
      <c r="A22" s="3440" t="s">
        <v>66</v>
      </c>
      <c r="B22" s="3441"/>
      <c r="C22" s="3447" t="s">
        <v>267</v>
      </c>
      <c r="D22" s="3448"/>
      <c r="E22" s="3448"/>
      <c r="F22" s="3448"/>
      <c r="G22" s="3448"/>
      <c r="H22" s="3448"/>
      <c r="I22" s="3448"/>
      <c r="J22" s="3448"/>
      <c r="K22" s="3448"/>
      <c r="L22" s="3448"/>
      <c r="M22" s="3448"/>
      <c r="N22" s="3448"/>
      <c r="O22" s="3448"/>
      <c r="P22" s="3448"/>
      <c r="Q22" s="3448"/>
    </row>
    <row r="23" spans="1:18" ht="219" customHeight="1">
      <c r="A23" s="3442"/>
      <c r="B23" s="3443"/>
      <c r="C23" s="791"/>
      <c r="D23" s="792"/>
      <c r="E23" s="792"/>
      <c r="F23" s="793"/>
      <c r="G23" s="791"/>
      <c r="H23" s="792"/>
      <c r="I23" s="792"/>
      <c r="J23" s="793"/>
      <c r="K23" s="791"/>
      <c r="L23" s="792"/>
      <c r="M23" s="793"/>
      <c r="N23" s="794"/>
      <c r="O23" s="795"/>
      <c r="P23" s="796"/>
      <c r="Q23" s="797"/>
    </row>
    <row r="24" spans="1:18" ht="35.25" customHeight="1">
      <c r="A24" s="3444"/>
      <c r="B24" s="3445"/>
      <c r="C24" s="3447" t="s">
        <v>275</v>
      </c>
      <c r="D24" s="3448"/>
      <c r="E24" s="3448"/>
      <c r="F24" s="3449"/>
      <c r="G24" s="3447" t="s">
        <v>276</v>
      </c>
      <c r="H24" s="3448"/>
      <c r="I24" s="3448"/>
      <c r="J24" s="3449"/>
      <c r="K24" s="3447" t="s">
        <v>273</v>
      </c>
      <c r="L24" s="3448"/>
      <c r="M24" s="3449"/>
      <c r="N24" s="3447" t="s">
        <v>274</v>
      </c>
      <c r="O24" s="3448"/>
      <c r="P24" s="3449"/>
      <c r="Q24" s="782" t="s">
        <v>277</v>
      </c>
    </row>
    <row r="25" spans="1:18" ht="22.5">
      <c r="A25" s="3564" t="s">
        <v>1211</v>
      </c>
      <c r="B25" s="3565"/>
      <c r="C25" s="756" t="s">
        <v>298</v>
      </c>
      <c r="D25" s="756" t="s">
        <v>299</v>
      </c>
      <c r="E25" s="756" t="s">
        <v>300</v>
      </c>
      <c r="F25" s="756" t="s">
        <v>301</v>
      </c>
      <c r="G25" s="756" t="s">
        <v>298</v>
      </c>
      <c r="H25" s="756" t="s">
        <v>299</v>
      </c>
      <c r="I25" s="756" t="s">
        <v>300</v>
      </c>
      <c r="J25" s="756" t="s">
        <v>302</v>
      </c>
      <c r="K25" s="756" t="s">
        <v>294</v>
      </c>
      <c r="L25" s="756" t="s">
        <v>295</v>
      </c>
      <c r="M25" s="756" t="s">
        <v>296</v>
      </c>
      <c r="N25" s="756" t="s">
        <v>294</v>
      </c>
      <c r="O25" s="756" t="s">
        <v>295</v>
      </c>
      <c r="P25" s="756" t="s">
        <v>296</v>
      </c>
      <c r="Q25" s="756" t="s">
        <v>297</v>
      </c>
      <c r="R25" s="77"/>
    </row>
    <row r="26" spans="1:18" ht="42.75" hidden="1" customHeight="1">
      <c r="A26" s="3405" t="s">
        <v>946</v>
      </c>
      <c r="B26" s="1141" t="s">
        <v>1217</v>
      </c>
      <c r="C26" s="552">
        <f>'Погонаж база'!CF13*скидки_наценки!$D$19*скидки_наценки!$F$19/скидки_наценки!$B$4</f>
        <v>0</v>
      </c>
      <c r="D26" s="552">
        <f>'Погонаж база'!CG13*скидки_наценки!$D$19*скидки_наценки!$F$19/скидки_наценки!$B$4</f>
        <v>0</v>
      </c>
      <c r="E26" s="552">
        <f>'Погонаж база'!CH13*скидки_наценки!$D$19*скидки_наценки!$F$19/скидки_наценки!$B$4</f>
        <v>0</v>
      </c>
      <c r="F26" s="552">
        <f>'Погонаж база'!CI13*скидки_наценки!$D$19*скидки_наценки!$F$19/скидки_наценки!$B$4</f>
        <v>0</v>
      </c>
      <c r="G26" s="552">
        <f>'Погонаж база'!CJ13*скидки_наценки!$D$19*скидки_наценки!$F$19/скидки_наценки!$B$4</f>
        <v>0</v>
      </c>
      <c r="H26" s="552">
        <f>'Погонаж база'!CK13*скидки_наценки!$D$19*скидки_наценки!$F$19/скидки_наценки!$B$4</f>
        <v>0</v>
      </c>
      <c r="I26" s="552">
        <f>'Погонаж база'!CL13*скидки_наценки!$D$19*скидки_наценки!$F$19/скидки_наценки!$B$4</f>
        <v>0</v>
      </c>
      <c r="J26" s="552">
        <f>'Погонаж база'!CM13*скидки_наценки!$D$19*скидки_наценки!$F$19/скидки_наценки!$B$4</f>
        <v>0</v>
      </c>
      <c r="K26" s="363" t="s">
        <v>3</v>
      </c>
      <c r="L26" s="456" t="s">
        <v>3</v>
      </c>
      <c r="M26" s="456" t="s">
        <v>3</v>
      </c>
      <c r="N26" s="455">
        <f>'Погонаж база'!CQ13*скидки_наценки!$D$19*скидки_наценки!$F$19/скидки_наценки!$B$4</f>
        <v>0</v>
      </c>
      <c r="O26" s="552">
        <f>'Погонаж база'!CR13*скидки_наценки!$D$19*скидки_наценки!$F$19/скидки_наценки!$B$4</f>
        <v>0</v>
      </c>
      <c r="P26" s="552">
        <f>'Погонаж база'!CS13*скидки_наценки!$D$19*скидки_наценки!$F$19/скидки_наценки!$B$4</f>
        <v>0</v>
      </c>
      <c r="Q26" s="455">
        <f>'Погонаж база'!CT13*скидки_наценки!$D$13*скидки_наценки!$F$13/скидки_наценки!$B$4</f>
        <v>0</v>
      </c>
    </row>
    <row r="27" spans="1:18" ht="42.75" hidden="1" customHeight="1">
      <c r="A27" s="3405"/>
      <c r="B27" s="1142" t="s">
        <v>1218</v>
      </c>
      <c r="C27" s="364">
        <f t="shared" ref="C27:J27" si="3">CEILING(C26*1.07, 50)</f>
        <v>0</v>
      </c>
      <c r="D27" s="364">
        <f t="shared" si="3"/>
        <v>0</v>
      </c>
      <c r="E27" s="364">
        <f t="shared" si="3"/>
        <v>0</v>
      </c>
      <c r="F27" s="364">
        <f t="shared" si="3"/>
        <v>0</v>
      </c>
      <c r="G27" s="364">
        <f t="shared" si="3"/>
        <v>0</v>
      </c>
      <c r="H27" s="364">
        <f t="shared" si="3"/>
        <v>0</v>
      </c>
      <c r="I27" s="364">
        <f t="shared" si="3"/>
        <v>0</v>
      </c>
      <c r="J27" s="364">
        <f t="shared" si="3"/>
        <v>0</v>
      </c>
      <c r="K27" s="364" t="s">
        <v>3</v>
      </c>
      <c r="L27" s="364" t="s">
        <v>3</v>
      </c>
      <c r="M27" s="364" t="s">
        <v>3</v>
      </c>
      <c r="N27" s="364">
        <f>CEILING(N26*1.07, 50)</f>
        <v>0</v>
      </c>
      <c r="O27" s="364">
        <f>CEILING(O26*1.07, 50)</f>
        <v>0</v>
      </c>
      <c r="P27" s="364">
        <f>CEILING(P26*1.07, 50)</f>
        <v>0</v>
      </c>
      <c r="Q27" s="364">
        <f>CEILING(Q26*1.07, 50)</f>
        <v>0</v>
      </c>
    </row>
    <row r="28" spans="1:18" ht="42.75" customHeight="1">
      <c r="A28" s="1143" t="s">
        <v>28</v>
      </c>
      <c r="B28" s="1141" t="s">
        <v>207</v>
      </c>
      <c r="C28" s="552">
        <f>'Погонаж база'!CF15*скидки_наценки!$D$21*скидки_наценки!$F$21/скидки_наценки!$B$4</f>
        <v>1350</v>
      </c>
      <c r="D28" s="552">
        <f>'Погонаж база'!CG15*скидки_наценки!$D$21*скидки_наценки!$F$21/скидки_наценки!$B$4</f>
        <v>1420</v>
      </c>
      <c r="E28" s="552">
        <f>'Погонаж база'!CH15*скидки_наценки!$D$21*скидки_наценки!$F$21/скидки_наценки!$B$4</f>
        <v>1500</v>
      </c>
      <c r="F28" s="552">
        <f>'Погонаж база'!CI15*скидки_наценки!$D$21*скидки_наценки!$F$21/скидки_наценки!$B$4</f>
        <v>1580</v>
      </c>
      <c r="G28" s="552">
        <f>'Погонаж база'!CJ15*скидки_наценки!$D$21*скидки_наценки!$F$21/скидки_наценки!$B$4</f>
        <v>1420</v>
      </c>
      <c r="H28" s="552">
        <f>'Погонаж база'!CK15*скидки_наценки!$D$21*скидки_наценки!$F$21/скидки_наценки!$B$4</f>
        <v>1500</v>
      </c>
      <c r="I28" s="552">
        <f>'Погонаж база'!CL15*скидки_наценки!$D$21*скидки_наценки!$F$21/скидки_наценки!$B$4</f>
        <v>1580</v>
      </c>
      <c r="J28" s="552">
        <f>'Погонаж база'!CM15*скидки_наценки!$D$21*скидки_наценки!$F$21/скидки_наценки!$B$4</f>
        <v>1670</v>
      </c>
      <c r="K28" s="552">
        <f>'Погонаж база'!CN15*скидки_наценки!$D$21*скидки_наценки!$F$21/скидки_наценки!$B$4</f>
        <v>1490</v>
      </c>
      <c r="L28" s="552">
        <f>'Погонаж база'!CO15*скидки_наценки!$D$21*скидки_наценки!$F$21/скидки_наценки!$B$4</f>
        <v>1570</v>
      </c>
      <c r="M28" s="552">
        <f>'Погонаж база'!CP15*скидки_наценки!$D$21*скидки_наценки!$F$21/скидки_наценки!$B$4</f>
        <v>1670</v>
      </c>
      <c r="N28" s="552">
        <f>'Погонаж база'!CQ15*скидки_наценки!$D$21*скидки_наценки!$F$21/скидки_наценки!$B$4</f>
        <v>1490</v>
      </c>
      <c r="O28" s="552">
        <f>'Погонаж база'!CR15*скидки_наценки!$D$21*скидки_наценки!$F$21/скидки_наценки!$B$4</f>
        <v>1570</v>
      </c>
      <c r="P28" s="552">
        <f>'Погонаж база'!CS15*скидки_наценки!$D$21*скидки_наценки!$F$21/скидки_наценки!$B$4</f>
        <v>1670</v>
      </c>
      <c r="Q28" s="552">
        <f>'Погонаж база'!CT15*скидки_наценки!$D$21*скидки_наценки!$F$21/скидки_наценки!$B$4</f>
        <v>1920</v>
      </c>
    </row>
    <row r="29" spans="1:18" ht="42.75" customHeight="1">
      <c r="A29" s="3467" t="s">
        <v>25</v>
      </c>
      <c r="B29" s="1142" t="s">
        <v>1292</v>
      </c>
      <c r="C29" s="364">
        <f>'Погонаж база'!CF16*скидки_наценки!$D$21*скидки_наценки!$F$21/скидки_наценки!$B$4</f>
        <v>1450</v>
      </c>
      <c r="D29" s="364">
        <f>'Погонаж база'!CG16*скидки_наценки!$D$21*скидки_наценки!$F$21/скидки_наценки!$B$4</f>
        <v>1500</v>
      </c>
      <c r="E29" s="364">
        <f>'Погонаж база'!CH16*скидки_наценки!$D$21*скидки_наценки!$F$21/скидки_наценки!$B$4</f>
        <v>1600</v>
      </c>
      <c r="F29" s="364">
        <f>'Погонаж база'!CI16*скидки_наценки!$D$21*скидки_наценки!$F$21/скидки_наценки!$B$4</f>
        <v>1700</v>
      </c>
      <c r="G29" s="364" t="s">
        <v>3</v>
      </c>
      <c r="H29" s="364" t="s">
        <v>3</v>
      </c>
      <c r="I29" s="364" t="s">
        <v>3</v>
      </c>
      <c r="J29" s="364" t="s">
        <v>3</v>
      </c>
      <c r="K29" s="364">
        <f>'Погонаж база'!CN16*скидки_наценки!$D$21*скидки_наценки!$F$21/скидки_наценки!$B$4</f>
        <v>1600</v>
      </c>
      <c r="L29" s="364">
        <f>'Погонаж база'!CO16*скидки_наценки!$D$21*скидки_наценки!$F$21/скидки_наценки!$B$4</f>
        <v>1650</v>
      </c>
      <c r="M29" s="364">
        <f>'Погонаж база'!CP16*скидки_наценки!$D$21*скидки_наценки!$F$21/скидки_наценки!$B$4</f>
        <v>1800</v>
      </c>
      <c r="N29" s="364">
        <f>'Погонаж база'!CQ16*скидки_наценки!$D$21*скидки_наценки!$F$21/скидки_наценки!$B$4</f>
        <v>1600</v>
      </c>
      <c r="O29" s="364">
        <f>'Погонаж база'!CR16*скидки_наценки!$D$21*скидки_наценки!$F$21/скидки_наценки!$B$4</f>
        <v>1650</v>
      </c>
      <c r="P29" s="364">
        <f>'Погонаж база'!CS16*скидки_наценки!$D$21*скидки_наценки!$F$21/скидки_наценки!$B$4</f>
        <v>1800</v>
      </c>
      <c r="Q29" s="364">
        <f>IFERROR(#REF!/(1-#REF!)*#REF!*скидки_наценки!$D$13*скидки_наценки!$F$13,0)</f>
        <v>0</v>
      </c>
    </row>
    <row r="30" spans="1:18" ht="42.75" customHeight="1">
      <c r="A30" s="3467"/>
      <c r="B30" s="1141" t="s">
        <v>1288</v>
      </c>
      <c r="C30" s="1080">
        <f>'Погонаж база'!CF17*скидки_наценки!$D$21*скидки_наценки!$F$21/скидки_наценки!$B$4</f>
        <v>1550</v>
      </c>
      <c r="D30" s="1080">
        <f>'Погонаж база'!CG17*скидки_наценки!$D$21*скидки_наценки!$F$21/скидки_наценки!$B$4</f>
        <v>1650</v>
      </c>
      <c r="E30" s="1080">
        <f>'Погонаж база'!CH17*скидки_наценки!$D$21*скидки_наценки!$F$21/скидки_наценки!$B$4</f>
        <v>1700</v>
      </c>
      <c r="F30" s="1080">
        <f>'Погонаж база'!CI17*скидки_наценки!$D$21*скидки_наценки!$F$21/скидки_наценки!$B$4</f>
        <v>1800</v>
      </c>
      <c r="G30" s="1080">
        <f>'Погонаж база'!CJ17*скидки_наценки!$D$21*скидки_наценки!$F$21/скидки_наценки!$B$4</f>
        <v>1650</v>
      </c>
      <c r="H30" s="1080">
        <f>'Погонаж база'!CK17*скидки_наценки!$D$21*скидки_наценки!$F$21/скидки_наценки!$B$4</f>
        <v>1700</v>
      </c>
      <c r="I30" s="1080">
        <f>'Погонаж база'!CL17*скидки_наценки!$D$21*скидки_наценки!$F$21/скидки_наценки!$B$4</f>
        <v>1800</v>
      </c>
      <c r="J30" s="1080">
        <f>'Погонаж база'!CM17*скидки_наценки!$D$21*скидки_наценки!$F$21/скидки_наценки!$B$4</f>
        <v>1900</v>
      </c>
      <c r="K30" s="1080">
        <f>'Погонаж база'!CN17*скидки_наценки!$D$21*скидки_наценки!$F$21/скидки_наценки!$B$4</f>
        <v>1700</v>
      </c>
      <c r="L30" s="1080">
        <f>'Погонаж база'!CO17*скидки_наценки!$D$21*скидки_наценки!$F$21/скидки_наценки!$B$4</f>
        <v>1800</v>
      </c>
      <c r="M30" s="1080">
        <f>'Погонаж база'!CP17*скидки_наценки!$D$21*скидки_наценки!$F$21/скидки_наценки!$B$4</f>
        <v>1900</v>
      </c>
      <c r="N30" s="1080">
        <f>'Погонаж база'!CQ17*скидки_наценки!$D$21*скидки_наценки!$F$21/скидки_наценки!$B$4</f>
        <v>1700</v>
      </c>
      <c r="O30" s="1080">
        <f>'Погонаж база'!CR17*скидки_наценки!$D$21*скидки_наценки!$F$21/скидки_наценки!$B$4</f>
        <v>1800</v>
      </c>
      <c r="P30" s="1080">
        <f>'Погонаж база'!CS17*скидки_наценки!$D$21*скидки_наценки!$F$21/скидки_наценки!$B$4</f>
        <v>1900</v>
      </c>
      <c r="Q30" s="1080">
        <f>IFERROR(#REF!/(1-#REF!)*#REF!*скидки_наценки!$D$13*скидки_наценки!$F$13,0)</f>
        <v>0</v>
      </c>
    </row>
    <row r="31" spans="1:18" ht="42.75" customHeight="1">
      <c r="A31" s="3467"/>
      <c r="B31" s="1142" t="s">
        <v>1293</v>
      </c>
      <c r="C31" s="364">
        <f>'Погонаж база'!CF19*скидки_наценки!$D$21*скидки_наценки!$F$21/скидки_наценки!$B$4</f>
        <v>1700</v>
      </c>
      <c r="D31" s="364">
        <f>'Погонаж база'!CG19*скидки_наценки!$D$21*скидки_наценки!$F$21/скидки_наценки!$B$4</f>
        <v>1750</v>
      </c>
      <c r="E31" s="364">
        <f>'Погонаж база'!CH19*скидки_наценки!$D$21*скидки_наценки!$F$21/скидки_наценки!$B$4</f>
        <v>1850</v>
      </c>
      <c r="F31" s="364">
        <f>'Погонаж база'!CI19*скидки_наценки!$D$21*скидки_наценки!$F$21/скидки_наценки!$B$4</f>
        <v>1950</v>
      </c>
      <c r="G31" s="364">
        <f>'Погонаж база'!CJ19*скидки_наценки!$D$21*скидки_наценки!$F$21/скидки_наценки!$B$4</f>
        <v>1750</v>
      </c>
      <c r="H31" s="364">
        <f>'Погонаж база'!CK19*скидки_наценки!$D$21*скидки_наценки!$F$21/скидки_наценки!$B$4</f>
        <v>1850</v>
      </c>
      <c r="I31" s="364">
        <f>'Погонаж база'!CL19*скидки_наценки!$D$21*скидки_наценки!$F$21/скидки_наценки!$B$4</f>
        <v>1950</v>
      </c>
      <c r="J31" s="364">
        <f>'Погонаж база'!CM19*скидки_наценки!$D$21*скидки_наценки!$F$21/скидки_наценки!$B$4</f>
        <v>2100</v>
      </c>
      <c r="K31" s="364">
        <f>'Погонаж база'!CN19*скидки_наценки!$D$21*скидки_наценки!$F$21/скидки_наценки!$B$4</f>
        <v>1850</v>
      </c>
      <c r="L31" s="364">
        <f>'Погонаж база'!CO19*скидки_наценки!$D$21*скидки_наценки!$F$21/скидки_наценки!$B$4</f>
        <v>1950</v>
      </c>
      <c r="M31" s="364">
        <f>'Погонаж база'!CP19*скидки_наценки!$D$21*скидки_наценки!$F$21/скидки_наценки!$B$4</f>
        <v>2100</v>
      </c>
      <c r="N31" s="364">
        <f>'Погонаж база'!CQ19*скидки_наценки!$D$21*скидки_наценки!$F$21/скидки_наценки!$B$4</f>
        <v>1850</v>
      </c>
      <c r="O31" s="364">
        <f>'Погонаж база'!CR19*скидки_наценки!$D$21*скидки_наценки!$F$21/скидки_наценки!$B$4</f>
        <v>1950</v>
      </c>
      <c r="P31" s="364">
        <f>'Погонаж база'!CS19*скидки_наценки!$D$21*скидки_наценки!$F$21/скидки_наценки!$B$4</f>
        <v>2100</v>
      </c>
      <c r="Q31" s="364">
        <f>CEILING(Q30*1.15, 50)</f>
        <v>0</v>
      </c>
    </row>
    <row r="33" spans="1:17" ht="27.75" hidden="1" customHeight="1">
      <c r="A33" s="3562"/>
      <c r="B33" s="3563"/>
      <c r="C33" s="364">
        <f>IFERROR(#REF!/(1-#REF!)*#REF!*скидки_наценки!$D$13*скидки_наценки!$F$13,0)</f>
        <v>0</v>
      </c>
      <c r="D33" s="364">
        <f>IFERROR(#REF!/(1-#REF!)*#REF!*скидки_наценки!$D$13*скидки_наценки!$F$13,0)</f>
        <v>0</v>
      </c>
      <c r="E33" s="364">
        <f>IFERROR(#REF!/(1-#REF!)*#REF!*скидки_наценки!$D$13*скидки_наценки!$F$13,0)</f>
        <v>0</v>
      </c>
      <c r="F33" s="364">
        <f>IFERROR(#REF!/(1-#REF!)*#REF!*скидки_наценки!$D$13*скидки_наценки!$F$13,0)</f>
        <v>0</v>
      </c>
      <c r="G33" s="364">
        <f>IFERROR(#REF!/(1-#REF!)*#REF!*скидки_наценки!$D$13*скидки_наценки!$F$13,0)</f>
        <v>0</v>
      </c>
      <c r="H33" s="364">
        <f>IFERROR(#REF!/(1-#REF!)*#REF!*скидки_наценки!$D$13*скидки_наценки!$F$13,0)</f>
        <v>0</v>
      </c>
      <c r="I33" s="364">
        <f>IFERROR(#REF!/(1-#REF!)*#REF!*скидки_наценки!$D$13*скидки_наценки!$F$13,0)</f>
        <v>0</v>
      </c>
      <c r="J33" s="364">
        <f>IFERROR(#REF!/(1-#REF!)*#REF!*скидки_наценки!$D$13*скидки_наценки!$F$13,0)</f>
        <v>0</v>
      </c>
      <c r="K33" s="364" t="e">
        <f>CEILING(#REF!*(1+скидки_наценки!$B$32)*скидки_наценки!$D$21*скидки_наценки!$F$21/скидки_наценки!$B$4, 50)</f>
        <v>#REF!</v>
      </c>
      <c r="L33" s="364" t="e">
        <f>CEILING(#REF!*(1+скидки_наценки!$B$32)*скидки_наценки!$D$21*скидки_наценки!$F$21/скидки_наценки!$B$4, 50)</f>
        <v>#REF!</v>
      </c>
      <c r="M33" s="364" t="e">
        <f>CEILING(#REF!*(1+скидки_наценки!$B$32)*скидки_наценки!$D$21*скидки_наценки!$F$21/скидки_наценки!$B$4, 50)</f>
        <v>#REF!</v>
      </c>
      <c r="N33" s="364" t="e">
        <f>CEILING(#REF!*(1+скидки_наценки!$B$32)*скидки_наценки!$D$21*скидки_наценки!$F$21/скидки_наценки!$B$4, 50)</f>
        <v>#REF!</v>
      </c>
      <c r="O33" s="364" t="e">
        <f>CEILING(#REF!*(1+скидки_наценки!$B$32)*скидки_наценки!$D$21*скидки_наценки!$F$21/скидки_наценки!$B$4, 50)</f>
        <v>#REF!</v>
      </c>
      <c r="P33" s="364" t="e">
        <f>CEILING(#REF!*(1+скидки_наценки!$B$32)*скидки_наценки!$D$21*скидки_наценки!$F$21/скидки_наценки!$B$4, 50)</f>
        <v>#REF!</v>
      </c>
      <c r="Q33" s="364" t="e">
        <f>CEILING(#REF!*(1+скидки_наценки!$B$32)*скидки_наценки!$D$21*скидки_наценки!$F$21/скидки_наценки!$B$4, 50)</f>
        <v>#REF!</v>
      </c>
    </row>
    <row r="34" spans="1:17" ht="15.75">
      <c r="A34" s="17"/>
      <c r="B34" s="17" t="s">
        <v>27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7" ht="15">
      <c r="A35" s="228" t="s">
        <v>509</v>
      </c>
    </row>
    <row r="36" spans="1:17" ht="15">
      <c r="A36" s="228"/>
      <c r="B36" s="71"/>
    </row>
  </sheetData>
  <mergeCells count="20">
    <mergeCell ref="A33:B33"/>
    <mergeCell ref="A25:B25"/>
    <mergeCell ref="A22:B24"/>
    <mergeCell ref="A26:A27"/>
    <mergeCell ref="A29:A31"/>
    <mergeCell ref="A7:B7"/>
    <mergeCell ref="A4:B6"/>
    <mergeCell ref="A15:B15"/>
    <mergeCell ref="A8:A9"/>
    <mergeCell ref="A11:A13"/>
    <mergeCell ref="C6:F6"/>
    <mergeCell ref="G6:J6"/>
    <mergeCell ref="K6:M6"/>
    <mergeCell ref="N6:P6"/>
    <mergeCell ref="C4:Q4"/>
    <mergeCell ref="C24:F24"/>
    <mergeCell ref="G24:J24"/>
    <mergeCell ref="K24:M24"/>
    <mergeCell ref="N24:P24"/>
    <mergeCell ref="C22:Q22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1" orientation="landscape" useFirstPageNumber="1" r:id="rId1"/>
  <headerFooter>
    <oddFooter>&amp;L&amp;P&amp;R&amp;24&amp;G</oddFooter>
  </headerFooter>
  <rowBreaks count="1" manualBreakCount="1">
    <brk id="19" max="16" man="1"/>
  </row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29">
    <tabColor rgb="FF92D050"/>
  </sheetPr>
  <dimension ref="A1:V40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/>
    </sheetView>
  </sheetViews>
  <sheetFormatPr defaultColWidth="8.42578125" defaultRowHeight="12.75"/>
  <cols>
    <col min="1" max="1" width="9" style="73" customWidth="1"/>
    <col min="2" max="2" width="19.7109375" style="73" customWidth="1"/>
    <col min="3" max="9" width="23" style="73" customWidth="1"/>
    <col min="10" max="11" width="19.85546875" style="73" customWidth="1"/>
    <col min="12" max="12" width="0.85546875" style="73" customWidth="1"/>
    <col min="13" max="14" width="19.85546875" style="73" customWidth="1"/>
    <col min="15" max="15" width="0.85546875" style="73" customWidth="1"/>
    <col min="16" max="16" width="23" style="73" customWidth="1"/>
    <col min="17" max="17" width="19.85546875" style="73" customWidth="1"/>
    <col min="18" max="18" width="8.42578125" style="73"/>
    <col min="19" max="22" width="17.140625" style="73" customWidth="1"/>
    <col min="23" max="16384" width="8.42578125" style="73"/>
  </cols>
  <sheetData>
    <row r="1" spans="1:16" s="1035" customFormat="1" ht="18.75" customHeight="1">
      <c r="B1" s="1034" t="s">
        <v>307</v>
      </c>
      <c r="C1" s="1041"/>
      <c r="P1" s="1031"/>
    </row>
    <row r="2" spans="1:16" ht="21.75" customHeight="1">
      <c r="A2" s="268"/>
      <c r="B2" s="268"/>
      <c r="F2" s="268"/>
      <c r="G2" s="268"/>
    </row>
    <row r="3" spans="1:16" ht="31.5" customHeight="1">
      <c r="A3" s="790" t="s">
        <v>1904</v>
      </c>
      <c r="B3" s="788"/>
      <c r="C3" s="789"/>
      <c r="D3" s="264"/>
      <c r="E3" s="264"/>
      <c r="F3" s="789"/>
      <c r="G3" s="789"/>
      <c r="H3" s="789"/>
      <c r="I3" s="149"/>
      <c r="J3" s="149"/>
      <c r="K3" s="149"/>
      <c r="L3" s="149"/>
      <c r="M3" s="149"/>
      <c r="N3" s="149"/>
      <c r="O3" s="149"/>
      <c r="P3" s="149"/>
    </row>
    <row r="4" spans="1:16" ht="18.75" customHeight="1">
      <c r="A4" s="3440" t="s">
        <v>66</v>
      </c>
      <c r="B4" s="3441"/>
      <c r="C4" s="3472" t="s">
        <v>85</v>
      </c>
      <c r="D4" s="3472"/>
      <c r="E4" s="3472"/>
      <c r="F4" s="3472"/>
      <c r="G4" s="3472"/>
      <c r="H4" s="3472"/>
      <c r="I4" s="3472"/>
      <c r="J4" s="3472"/>
      <c r="K4" s="3472"/>
      <c r="L4" s="3451"/>
      <c r="M4" s="3576" t="s">
        <v>1704</v>
      </c>
      <c r="N4" s="3576"/>
      <c r="O4" s="3450"/>
      <c r="P4" s="3576" t="s">
        <v>158</v>
      </c>
    </row>
    <row r="5" spans="1:16" ht="50.25" customHeight="1">
      <c r="A5" s="3442"/>
      <c r="B5" s="3443"/>
      <c r="C5" s="3447" t="s">
        <v>68</v>
      </c>
      <c r="D5" s="3448"/>
      <c r="E5" s="3449"/>
      <c r="F5" s="3577" t="s">
        <v>86</v>
      </c>
      <c r="G5" s="3578"/>
      <c r="H5" s="3579"/>
      <c r="I5" s="1371" t="s">
        <v>87</v>
      </c>
      <c r="J5" s="1366" t="s">
        <v>224</v>
      </c>
      <c r="K5" s="782" t="s">
        <v>536</v>
      </c>
      <c r="L5" s="3571"/>
      <c r="M5" s="1673" t="s">
        <v>1705</v>
      </c>
      <c r="N5" s="1673" t="s">
        <v>1706</v>
      </c>
      <c r="O5" s="3573"/>
      <c r="P5" s="3576"/>
    </row>
    <row r="6" spans="1:16" ht="54.75" customHeight="1">
      <c r="A6" s="3442"/>
      <c r="B6" s="3443"/>
      <c r="C6" s="3567" t="s">
        <v>2031</v>
      </c>
      <c r="D6" s="3567" t="s">
        <v>2032</v>
      </c>
      <c r="E6" s="3567" t="s">
        <v>2033</v>
      </c>
      <c r="F6" s="3567" t="s">
        <v>124</v>
      </c>
      <c r="G6" s="3567" t="s">
        <v>124</v>
      </c>
      <c r="H6" s="3567" t="s">
        <v>124</v>
      </c>
      <c r="I6" s="3567" t="s">
        <v>912</v>
      </c>
      <c r="J6" s="3569" t="s">
        <v>912</v>
      </c>
      <c r="K6" s="3566" t="s">
        <v>912</v>
      </c>
      <c r="L6" s="3571"/>
      <c r="M6" s="3566" t="s">
        <v>124</v>
      </c>
      <c r="N6" s="3566" t="s">
        <v>124</v>
      </c>
      <c r="O6" s="3573"/>
      <c r="P6" s="3576"/>
    </row>
    <row r="7" spans="1:16" ht="48.75" customHeight="1">
      <c r="A7" s="3444"/>
      <c r="B7" s="3445"/>
      <c r="C7" s="3580"/>
      <c r="D7" s="3568"/>
      <c r="E7" s="3568"/>
      <c r="F7" s="3580"/>
      <c r="G7" s="3568"/>
      <c r="H7" s="3568"/>
      <c r="I7" s="3580"/>
      <c r="J7" s="3570"/>
      <c r="K7" s="3566"/>
      <c r="L7" s="3571"/>
      <c r="M7" s="3566"/>
      <c r="N7" s="3566"/>
      <c r="O7" s="3573"/>
      <c r="P7" s="1674" t="s">
        <v>283</v>
      </c>
    </row>
    <row r="8" spans="1:16" ht="48.75" customHeight="1">
      <c r="A8" s="1666" t="s">
        <v>231</v>
      </c>
      <c r="B8" s="1142" t="s">
        <v>231</v>
      </c>
      <c r="C8" s="1667"/>
      <c r="D8" s="1667"/>
      <c r="E8" s="1667"/>
      <c r="F8" s="1667"/>
      <c r="G8" s="1667"/>
      <c r="H8" s="1667"/>
      <c r="I8" s="1667"/>
      <c r="J8" s="1675"/>
      <c r="K8" s="1676"/>
      <c r="L8" s="3571"/>
      <c r="M8" s="364">
        <f>'Погонаж база'!BG12*(1+скидки_наценки!$B$30)*скидки_наценки!$D$19*скидки_наценки!$F$19/скидки_наценки!$B$4</f>
        <v>1000</v>
      </c>
      <c r="N8" s="364">
        <f>'Погонаж база'!BH12*(1+скидки_наценки!$B$30)*скидки_наценки!$D$19*скидки_наценки!$F$19/скидки_наценки!$B$4</f>
        <v>950</v>
      </c>
      <c r="O8" s="3573"/>
      <c r="P8" s="1674"/>
    </row>
    <row r="9" spans="1:16" ht="52.5" hidden="1" customHeight="1">
      <c r="A9" s="3405" t="s">
        <v>946</v>
      </c>
      <c r="B9" s="1141" t="s">
        <v>1217</v>
      </c>
      <c r="C9" s="783">
        <f>CEILING('Погонаж база'!AX13*(1+скидки_наценки!$B$28)*скидки_наценки!$D$19*скидки_наценки!$F$19/скидки_наценки!$B$4, 10)</f>
        <v>800</v>
      </c>
      <c r="D9" s="783">
        <f>CEILING('Погонаж база'!AY13*(1+скидки_наценки!$B$28)*скидки_наценки!$D$19*скидки_наценки!$F$19/скидки_наценки!$B$4, 50)</f>
        <v>1050</v>
      </c>
      <c r="E9" s="783">
        <f>CEILING('Погонаж база'!AZ13*(1+скидки_наценки!$B$28)*скидки_наценки!$D$19*скидки_наценки!$F$19/скидки_наценки!$B$4, 50)</f>
        <v>1150</v>
      </c>
      <c r="F9" s="783">
        <f>CEILING('Погонаж база'!BA13*(1+скидки_наценки!$B$28)*скидки_наценки!$D$19*скидки_наценки!$F$19/скидки_наценки!$B$4, 50)</f>
        <v>850</v>
      </c>
      <c r="G9" s="783">
        <f>CEILING('Погонаж база'!BB13*(1+скидки_наценки!$B$28)*скидки_наценки!$D$19*скидки_наценки!$F$19/скидки_наценки!$B$4, 50)</f>
        <v>1100</v>
      </c>
      <c r="H9" s="783">
        <f>CEILING('Погонаж база'!BC13*(1+скидки_наценки!$B$28)*скидки_наценки!$D$19*скидки_наценки!$F$19/скидки_наценки!$B$4, 50)</f>
        <v>1200</v>
      </c>
      <c r="I9" s="783"/>
      <c r="J9" s="783"/>
      <c r="K9" s="783"/>
      <c r="L9" s="3571"/>
      <c r="M9" s="1328"/>
      <c r="N9" s="1328"/>
      <c r="O9" s="3573"/>
      <c r="P9" s="3574">
        <f>'Погонаж база'!BI13*скидки_наценки!$D$23*скидки_наценки!$F$23/скидки_наценки!$B$4</f>
        <v>1100</v>
      </c>
    </row>
    <row r="10" spans="1:16" ht="52.5" hidden="1" customHeight="1">
      <c r="A10" s="3405"/>
      <c r="B10" s="1142" t="s">
        <v>1218</v>
      </c>
      <c r="C10" s="364">
        <f>CEILING('Погонаж база'!AX14*(1+скидки_наценки!$B$28)*скидки_наценки!$D$19*скидки_наценки!$F$19/скидки_наценки!$B$4, 50)</f>
        <v>950</v>
      </c>
      <c r="D10" s="364">
        <f>CEILING('Погонаж база'!AY14*(1+скидки_наценки!$B$28)*скидки_наценки!$D$19*скидки_наценки!$F$19/скидки_наценки!$B$4, 50)</f>
        <v>1250</v>
      </c>
      <c r="E10" s="364">
        <f>CEILING('Погонаж база'!AZ14*(1+скидки_наценки!$B$28)*скидки_наценки!$D$19*скидки_наценки!$F$19/скидки_наценки!$B$4, 50)</f>
        <v>1350</v>
      </c>
      <c r="F10" s="364">
        <f>CEILING('Погонаж база'!BA14*(1+скидки_наценки!$B$28)*скидки_наценки!$D$19*скидки_наценки!$F$19/скидки_наценки!$B$4, 50)</f>
        <v>1000</v>
      </c>
      <c r="G10" s="364">
        <f>CEILING('Погонаж база'!BB14*(1+скидки_наценки!$B$28)*скидки_наценки!$D$19*скидки_наценки!$F$19/скидки_наценки!$B$4, 50)</f>
        <v>1300</v>
      </c>
      <c r="H10" s="364">
        <f>CEILING('Погонаж база'!BC14*(1+скидки_наценки!$B$28)*скидки_наценки!$D$19*скидки_наценки!$F$19/скидки_наценки!$B$4, 50)</f>
        <v>1400</v>
      </c>
      <c r="I10" s="364"/>
      <c r="J10" s="364"/>
      <c r="K10" s="364"/>
      <c r="L10" s="3571"/>
      <c r="M10" s="1330"/>
      <c r="N10" s="1330"/>
      <c r="O10" s="3573"/>
      <c r="P10" s="3574"/>
    </row>
    <row r="11" spans="1:16" ht="52.5" customHeight="1">
      <c r="A11" s="1143" t="s">
        <v>28</v>
      </c>
      <c r="B11" s="1141" t="s">
        <v>207</v>
      </c>
      <c r="C11" s="783">
        <f>'Погонаж база'!AX15*(1+скидки_наценки!$B$30)*скидки_наценки!$D$19*скидки_наценки!$F$19/скидки_наценки!$B$4</f>
        <v>1210</v>
      </c>
      <c r="D11" s="783">
        <f>'Погонаж база'!AY15*(1+скидки_наценки!$B$30)*скидки_наценки!$D$19*скидки_наценки!$F$19/скидки_наценки!$B$4</f>
        <v>1560</v>
      </c>
      <c r="E11" s="783">
        <f>'Погонаж база'!AZ15*(1+скидки_наценки!$B$30)*скидки_наценки!$D$19*скидки_наценки!$F$19/скидки_наценки!$B$4</f>
        <v>1720</v>
      </c>
      <c r="F11" s="783">
        <f>'Погонаж база'!BA15*(1+скидки_наценки!$B$30)*скидки_наценки!$D$19*скидки_наценки!$F$19/скидки_наценки!$B$4</f>
        <v>1280</v>
      </c>
      <c r="G11" s="783">
        <f>'Погонаж база'!BB15*(1+скидки_наценки!$B$30)*скидки_наценки!$D$19*скидки_наценки!$F$19/скидки_наценки!$B$4</f>
        <v>1640</v>
      </c>
      <c r="H11" s="783">
        <f>'Погонаж база'!BC15*(1+скидки_наценки!$B$30)*скидки_наценки!$D$19*скидки_наценки!$F$19/скидки_наценки!$B$4</f>
        <v>1810</v>
      </c>
      <c r="I11" s="783">
        <f>'Погонаж база'!BF15*(1+скидки_наценки!$B$30)*скидки_наценки!$D$19*скидки_наценки!$F$19/скидки_наценки!$B$4</f>
        <v>2680</v>
      </c>
      <c r="J11" s="783">
        <f>'Погонаж база'!BD15*(1+скидки_наценки!$B$30)*скидки_наценки!$D$19*скидки_наценки!$F$19/скидки_наценки!$B$4</f>
        <v>2250</v>
      </c>
      <c r="K11" s="783">
        <f>'Погонаж база'!BE15*(1+скидки_наценки!$B$30)*скидки_наценки!$D$19*скидки_наценки!$F$19/скидки_наценки!$B$4</f>
        <v>2410</v>
      </c>
      <c r="L11" s="3571"/>
      <c r="M11" s="1328">
        <f>'Погонаж база'!BG15*(1+скидки_наценки!$B$30)*скидки_наценки!$D$19*скидки_наценки!$F$19/скидки_наценки!$B$4</f>
        <v>1500</v>
      </c>
      <c r="N11" s="1328">
        <f>'Погонаж база'!BH15*(1+скидки_наценки!$B$30)*скидки_наценки!$D$19*скидки_наценки!$F$19/скидки_наценки!$B$4</f>
        <v>1420</v>
      </c>
      <c r="O11" s="3573"/>
      <c r="P11" s="3574"/>
    </row>
    <row r="12" spans="1:16" ht="52.5" customHeight="1">
      <c r="A12" s="3467" t="s">
        <v>25</v>
      </c>
      <c r="B12" s="1142" t="s">
        <v>1292</v>
      </c>
      <c r="C12" s="364">
        <f>'Погонаж база'!AX16*(1+скидки_наценки!$B$273)*скидки_наценки!$D$19*скидки_наценки!$F$19/скидки_наценки!$B$4</f>
        <v>1300</v>
      </c>
      <c r="D12" s="364">
        <f>'Погонаж база'!AY16*(1+скидки_наценки!$B$273)*скидки_наценки!$D$19*скидки_наценки!$F$19/скидки_наценки!$B$4</f>
        <v>1650</v>
      </c>
      <c r="E12" s="364">
        <f>'Погонаж база'!AZ16*(1+скидки_наценки!$B$273)*скидки_наценки!$D$19*скидки_наценки!$F$19/скидки_наценки!$B$4</f>
        <v>1850</v>
      </c>
      <c r="F12" s="364">
        <f>'Погонаж база'!BA16*(1+скидки_наценки!$B$273)*скидки_наценки!$D$19*скидки_наценки!$F$19/скидки_наценки!$B$4</f>
        <v>1350</v>
      </c>
      <c r="G12" s="364">
        <f>'Погонаж база'!BB16*(1+скидки_наценки!$B$273)*скидки_наценки!$D$19*скидки_наценки!$F$19/скидки_наценки!$B$4</f>
        <v>1750</v>
      </c>
      <c r="H12" s="364">
        <f>'Погонаж база'!BC16*(1+скидки_наценки!$B$273)*скидки_наценки!$D$19*скидки_наценки!$F$19/скидки_наценки!$B$4</f>
        <v>1950</v>
      </c>
      <c r="I12" s="364"/>
      <c r="J12" s="364"/>
      <c r="K12" s="364"/>
      <c r="L12" s="3571"/>
      <c r="M12" s="1330">
        <f>'Погонаж база'!BG16*(1+скидки_наценки!$B$30)*скидки_наценки!$D$19*скидки_наценки!$F$19/скидки_наценки!$B$4</f>
        <v>1600</v>
      </c>
      <c r="N12" s="1330">
        <f>'Погонаж база'!BH16*(1+скидки_наценки!$B$30)*скидки_наценки!$D$19*скидки_наценки!$F$19/скидки_наценки!$B$4</f>
        <v>1500</v>
      </c>
      <c r="O12" s="3573"/>
      <c r="P12" s="3574"/>
    </row>
    <row r="13" spans="1:16" ht="52.5" customHeight="1">
      <c r="A13" s="3467"/>
      <c r="B13" s="1141" t="s">
        <v>1287</v>
      </c>
      <c r="C13" s="1080">
        <f>'Погонаж база'!AX17*(1+скидки_наценки!$B$29)*скидки_наценки!$D$19*скидки_наценки!$F$19/скидки_наценки!$B$4</f>
        <v>1400</v>
      </c>
      <c r="D13" s="1080">
        <f>'Погонаж база'!AY17*(1+скидки_наценки!$B$29)*скидки_наценки!$D$19*скидки_наценки!$F$19/скидки_наценки!$B$4</f>
        <v>1800</v>
      </c>
      <c r="E13" s="1080">
        <f>'Погонаж база'!AZ17*(1+скидки_наценки!$B$29)*скидки_наценки!$D$19*скидки_наценки!$F$19/скидки_наценки!$B$4</f>
        <v>1950</v>
      </c>
      <c r="F13" s="1080">
        <f>'Погонаж база'!BA17*(1+скидки_наценки!$B$29)*скидки_наценки!$D$19*скидки_наценки!$F$19/скидки_наценки!$B$4</f>
        <v>1450</v>
      </c>
      <c r="G13" s="1080">
        <f>'Погонаж база'!BB17*(1+скидки_наценки!$B$29)*скидки_наценки!$D$19*скидки_наценки!$F$19/скидки_наценки!$B$4</f>
        <v>1900</v>
      </c>
      <c r="H13" s="1080">
        <f>'Погонаж база'!BC17*(1+скидки_наценки!$B$29)*скидки_наценки!$D$19*скидки_наценки!$F$19/скидки_наценки!$B$4</f>
        <v>2050</v>
      </c>
      <c r="I13" s="1080"/>
      <c r="J13" s="1080"/>
      <c r="K13" s="1080"/>
      <c r="L13" s="3571"/>
      <c r="M13" s="1328">
        <f>'Погонаж база'!BG17*(1+скидки_наценки!$B$30)*скидки_наценки!$D$19*скидки_наценки!$F$19/скидки_наценки!$B$4</f>
        <v>1700</v>
      </c>
      <c r="N13" s="1328">
        <f>'Погонаж база'!BH17*(1+скидки_наценки!$B$30)*скидки_наценки!$D$19*скидки_наценки!$F$19/скидки_наценки!$B$4</f>
        <v>1650</v>
      </c>
      <c r="O13" s="3573"/>
      <c r="P13" s="3574"/>
    </row>
    <row r="14" spans="1:16" ht="52.5" customHeight="1">
      <c r="A14" s="3468"/>
      <c r="B14" s="1847" t="s">
        <v>1806</v>
      </c>
      <c r="C14" s="364">
        <f>'Погонаж база'!AX18*(1+скидки_наценки!$B$29)*скидки_наценки!$D$19*скидки_наценки!$F$19/скидки_наценки!$B$4</f>
        <v>1450</v>
      </c>
      <c r="D14" s="364">
        <f>'Погонаж база'!AY18*(1+скидки_наценки!$B$29)*скидки_наценки!$D$19*скидки_наценки!$F$19/скидки_наценки!$B$4</f>
        <v>1850</v>
      </c>
      <c r="E14" s="364">
        <f>'Погонаж база'!AZ18*(1+скидки_наценки!$B$29)*скидки_наценки!$D$19*скидки_наценки!$F$19/скидки_наценки!$B$4</f>
        <v>2050</v>
      </c>
      <c r="F14" s="1330" t="s">
        <v>3</v>
      </c>
      <c r="G14" s="1330" t="s">
        <v>3</v>
      </c>
      <c r="H14" s="1330" t="s">
        <v>3</v>
      </c>
      <c r="I14" s="1330" t="s">
        <v>3</v>
      </c>
      <c r="J14" s="1330" t="s">
        <v>3</v>
      </c>
      <c r="K14" s="1330" t="s">
        <v>3</v>
      </c>
      <c r="L14" s="3571"/>
      <c r="M14" s="1330">
        <f>'Погонаж база'!BG18*(1+скидки_наценки!$B$30)*скидки_наценки!$D$19*скидки_наценки!$F$19/скидки_наценки!$B$4</f>
        <v>1800</v>
      </c>
      <c r="N14" s="1330">
        <f>'Погонаж база'!BH18*(1+скидки_наценки!$B$30)*скидки_наценки!$D$19*скидки_наценки!$F$19/скидки_наценки!$B$4</f>
        <v>1700</v>
      </c>
      <c r="O14" s="3573"/>
      <c r="P14" s="3575"/>
    </row>
    <row r="15" spans="1:16" ht="52.5" customHeight="1">
      <c r="A15" s="3467"/>
      <c r="B15" s="1141" t="s">
        <v>1293</v>
      </c>
      <c r="C15" s="1080">
        <f>'Погонаж база'!AX19*(1+скидки_наценки!$B$29)*скидки_наценки!$D$19*скидки_наценки!$F$19/скидки_наценки!$B$4</f>
        <v>1500</v>
      </c>
      <c r="D15" s="1080">
        <f>'Погонаж база'!AY19*(1+скидки_наценки!$B$29)*скидки_наценки!$D$19*скидки_наценки!$F$19/скидки_наценки!$B$4</f>
        <v>1950</v>
      </c>
      <c r="E15" s="1080">
        <f>'Погонаж база'!AZ19*(1+скидки_наценки!$B$29)*скидки_наценки!$D$19*скидки_наценки!$F$19/скидки_наценки!$B$4</f>
        <v>2150</v>
      </c>
      <c r="F15" s="1080">
        <f>'Погонаж база'!BA19*(1+скидки_наценки!$B$29)*скидки_наценки!$D$19*скидки_наценки!$F$19/скидки_наценки!$B$4</f>
        <v>1600</v>
      </c>
      <c r="G15" s="1080">
        <f>'Погонаж база'!BB19*(1+скидки_наценки!$B$29)*скидки_наценки!$D$19*скидки_наценки!$F$19/скидки_наценки!$B$4</f>
        <v>2050</v>
      </c>
      <c r="H15" s="1080">
        <f>'Погонаж база'!BC19*(1+скидки_наценки!$B$29)*скидки_наценки!$D$19*скидки_наценки!$F$19/скидки_наценки!$B$4</f>
        <v>2250</v>
      </c>
      <c r="I15" s="1236"/>
      <c r="J15" s="1236"/>
      <c r="K15" s="1236"/>
      <c r="L15" s="3572"/>
      <c r="M15" s="1329">
        <f>'Погонаж база'!BG19*(1+скидки_наценки!$B$30)*скидки_наценки!$D$19*скидки_наценки!$F$19/скидки_наценки!$B$4</f>
        <v>1850</v>
      </c>
      <c r="N15" s="1329">
        <f>'Погонаж база'!BH19*(1+скидки_наценки!$B$30)*скидки_наценки!$D$19*скидки_наценки!$F$19/скидки_наценки!$B$4</f>
        <v>1750</v>
      </c>
      <c r="O15" s="3477"/>
      <c r="P15" s="3574"/>
    </row>
    <row r="16" spans="1:16" ht="15">
      <c r="B16" s="809"/>
    </row>
    <row r="17" spans="1:17" s="152" customFormat="1" ht="15">
      <c r="B17" s="53"/>
      <c r="C17" s="151"/>
      <c r="D17" s="151"/>
      <c r="E17" s="151"/>
      <c r="F17" s="151"/>
      <c r="G17" s="151"/>
      <c r="H17" s="151"/>
      <c r="I17" s="151"/>
    </row>
    <row r="18" spans="1:17">
      <c r="B18" s="367"/>
    </row>
    <row r="23" spans="1:17" ht="27.75" customHeight="1"/>
    <row r="24" spans="1:17" ht="27.75" customHeight="1"/>
    <row r="25" spans="1:17" ht="27.75" customHeight="1"/>
    <row r="29" spans="1:17" s="83" customFormat="1" ht="18" customHeight="1">
      <c r="A29" s="70"/>
      <c r="B29" s="70"/>
      <c r="C29" s="70"/>
      <c r="D29" s="70"/>
      <c r="E29" s="70"/>
      <c r="F29" s="70"/>
      <c r="G29" s="70"/>
      <c r="H29" s="70"/>
      <c r="I29" s="68"/>
      <c r="J29" s="68"/>
      <c r="K29" s="68"/>
      <c r="L29" s="68"/>
      <c r="M29" s="68"/>
      <c r="N29" s="68"/>
      <c r="O29" s="68"/>
      <c r="P29" s="68"/>
      <c r="Q29" s="68"/>
    </row>
    <row r="30" spans="1:17" s="83" customFormat="1" ht="18" customHeight="1">
      <c r="A30" s="70"/>
      <c r="B30" s="70"/>
      <c r="C30" s="70"/>
      <c r="D30" s="70"/>
      <c r="E30" s="70"/>
      <c r="F30" s="70"/>
      <c r="G30" s="70"/>
      <c r="H30" s="70"/>
      <c r="I30" s="68"/>
      <c r="J30" s="68"/>
      <c r="K30" s="68"/>
      <c r="L30" s="68"/>
      <c r="M30" s="68"/>
      <c r="N30" s="68"/>
      <c r="O30" s="68"/>
      <c r="P30" s="68"/>
      <c r="Q30" s="68"/>
    </row>
    <row r="31" spans="1:17" s="83" customFormat="1" ht="18" customHeight="1">
      <c r="A31" s="70"/>
      <c r="B31" s="70"/>
      <c r="C31" s="70"/>
      <c r="D31" s="70"/>
      <c r="E31" s="70"/>
      <c r="F31" s="70"/>
      <c r="G31" s="70"/>
      <c r="H31" s="70"/>
      <c r="I31" s="68"/>
      <c r="J31" s="68"/>
      <c r="K31" s="68"/>
      <c r="L31" s="68"/>
      <c r="M31" s="68"/>
      <c r="N31" s="68"/>
      <c r="O31" s="68"/>
      <c r="P31" s="68"/>
      <c r="Q31" s="68"/>
    </row>
    <row r="32" spans="1:17" s="83" customFormat="1" ht="18" customHeight="1">
      <c r="A32" s="70"/>
      <c r="B32" s="70"/>
      <c r="C32" s="70"/>
      <c r="D32" s="70"/>
      <c r="E32" s="70"/>
      <c r="F32" s="70"/>
      <c r="G32" s="70"/>
      <c r="H32" s="70"/>
      <c r="I32" s="68"/>
      <c r="J32" s="68"/>
      <c r="K32" s="68"/>
      <c r="L32" s="68"/>
      <c r="M32" s="68"/>
      <c r="N32" s="68"/>
      <c r="O32" s="68"/>
      <c r="P32" s="68"/>
      <c r="Q32" s="68"/>
    </row>
    <row r="33" spans="1:22" ht="15">
      <c r="A33" s="71"/>
      <c r="B33" s="17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71"/>
      <c r="Q33" s="71"/>
      <c r="R33" s="263"/>
      <c r="S33" s="263"/>
      <c r="T33" s="263"/>
      <c r="U33" s="263"/>
      <c r="V33" s="263"/>
    </row>
    <row r="34" spans="1:22" s="100" customFormat="1" ht="21.6" customHeight="1">
      <c r="A34" s="182"/>
      <c r="B34" s="182"/>
      <c r="C34" s="182"/>
      <c r="D34" s="182"/>
      <c r="E34" s="182"/>
      <c r="F34" s="224"/>
      <c r="G34" s="224"/>
      <c r="H34" s="182"/>
      <c r="I34" s="182"/>
      <c r="J34" s="182"/>
      <c r="K34" s="182"/>
      <c r="L34" s="182"/>
      <c r="M34" s="182"/>
      <c r="N34" s="182"/>
      <c r="O34" s="182"/>
      <c r="P34" s="182"/>
      <c r="Q34" s="181"/>
      <c r="R34" s="71"/>
    </row>
    <row r="35" spans="1:22" s="100" customFormat="1" ht="12" customHeight="1">
      <c r="A35" s="182"/>
      <c r="B35" s="223"/>
      <c r="C35" s="104"/>
      <c r="D35" s="104"/>
      <c r="E35" s="104"/>
      <c r="F35" s="102"/>
      <c r="G35" s="102"/>
      <c r="H35" s="104"/>
      <c r="I35" s="104"/>
      <c r="J35" s="104"/>
      <c r="K35" s="104"/>
      <c r="L35" s="104"/>
      <c r="M35" s="104"/>
      <c r="N35" s="104"/>
      <c r="O35" s="104"/>
      <c r="P35" s="104"/>
    </row>
    <row r="36" spans="1:22" s="100" customFormat="1" ht="12" customHeight="1">
      <c r="A36" s="104"/>
      <c r="B36" s="22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1:22" ht="18" customHeight="1">
      <c r="B37" s="225"/>
    </row>
    <row r="38" spans="1:22" ht="18" customHeight="1"/>
    <row r="39" spans="1:22" ht="18" customHeight="1"/>
    <row r="40" spans="1:22" ht="18" customHeight="1"/>
  </sheetData>
  <mergeCells count="22">
    <mergeCell ref="O4:O15"/>
    <mergeCell ref="P9:P15"/>
    <mergeCell ref="A4:B7"/>
    <mergeCell ref="P4:P6"/>
    <mergeCell ref="C4:K4"/>
    <mergeCell ref="F5:H5"/>
    <mergeCell ref="F6:F7"/>
    <mergeCell ref="C6:C7"/>
    <mergeCell ref="I6:I7"/>
    <mergeCell ref="K6:K7"/>
    <mergeCell ref="C5:E5"/>
    <mergeCell ref="E6:E7"/>
    <mergeCell ref="G6:G7"/>
    <mergeCell ref="M4:N4"/>
    <mergeCell ref="M6:M7"/>
    <mergeCell ref="A12:A15"/>
    <mergeCell ref="N6:N7"/>
    <mergeCell ref="H6:H7"/>
    <mergeCell ref="J6:J7"/>
    <mergeCell ref="D6:D7"/>
    <mergeCell ref="A9:A10"/>
    <mergeCell ref="L4:L15"/>
  </mergeCells>
  <conditionalFormatting sqref="G35:H35 H34:P34 H36 C34:E36 I35:S36">
    <cfRule type="cellIs" dxfId="5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35433070866141736" right="0.23622047244094491" top="0.59055118110236227" bottom="0.31496062992125984" header="0.59055118110236227" footer="0.31496062992125984"/>
  <pageSetup paperSize="9" scale="48" firstPageNumber="43" orientation="landscape" useFirstPageNumber="1" r:id="rId1"/>
  <headerFooter>
    <oddFooter>&amp;L&amp;P&amp;R&amp;22&amp;G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31">
    <tabColor rgb="FF92D050"/>
  </sheetPr>
  <dimension ref="A1:R66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G8" sqref="G8"/>
    </sheetView>
  </sheetViews>
  <sheetFormatPr defaultColWidth="8.42578125" defaultRowHeight="12.75"/>
  <cols>
    <col min="1" max="1" width="7.140625" style="73" customWidth="1"/>
    <col min="2" max="2" width="19.7109375" style="73" customWidth="1"/>
    <col min="3" max="3" width="12.7109375" style="73" customWidth="1"/>
    <col min="4" max="7" width="19.28515625" style="73" customWidth="1"/>
    <col min="8" max="9" width="23" style="73" customWidth="1"/>
    <col min="10" max="10" width="19.85546875" style="73" customWidth="1"/>
    <col min="11" max="12" width="11.7109375" style="73" customWidth="1"/>
    <col min="13" max="13" width="19.85546875" style="73" customWidth="1"/>
    <col min="14" max="14" width="8.42578125" style="73"/>
    <col min="15" max="18" width="17.140625" style="73" customWidth="1"/>
    <col min="19" max="16384" width="8.42578125" style="73"/>
  </cols>
  <sheetData>
    <row r="1" spans="1:13" s="1035" customFormat="1" ht="21.75" customHeight="1">
      <c r="B1" s="1034" t="s">
        <v>307</v>
      </c>
      <c r="C1" s="1029"/>
      <c r="J1" s="1031"/>
    </row>
    <row r="3" spans="1:13" ht="21.75" customHeight="1">
      <c r="A3" s="267" t="s">
        <v>498</v>
      </c>
      <c r="B3" s="152"/>
      <c r="C3" s="152"/>
      <c r="D3" s="152"/>
      <c r="E3" s="152"/>
      <c r="F3" s="152"/>
      <c r="G3" s="151"/>
    </row>
    <row r="4" spans="1:13" ht="18.75" customHeight="1">
      <c r="A4" s="152"/>
      <c r="B4" s="152"/>
      <c r="C4" s="152"/>
      <c r="D4" s="152"/>
      <c r="E4" s="152"/>
      <c r="F4" s="152"/>
      <c r="G4" s="152"/>
      <c r="H4" s="151"/>
      <c r="I4" s="339"/>
      <c r="J4" s="149"/>
      <c r="K4" s="149"/>
      <c r="L4" s="149"/>
      <c r="M4" s="149"/>
    </row>
    <row r="5" spans="1:13" ht="30.75" customHeight="1">
      <c r="A5" s="3011" t="s">
        <v>1</v>
      </c>
      <c r="B5" s="3013"/>
      <c r="C5" s="3289" t="s">
        <v>1214</v>
      </c>
      <c r="D5" s="3586" t="s">
        <v>254</v>
      </c>
      <c r="E5" s="3587"/>
      <c r="F5" s="3588"/>
      <c r="G5" s="3586" t="s">
        <v>257</v>
      </c>
      <c r="H5" s="3587"/>
      <c r="I5" s="3588"/>
      <c r="J5" s="340" t="s">
        <v>247</v>
      </c>
    </row>
    <row r="6" spans="1:13" ht="110.25" customHeight="1">
      <c r="A6" s="3126"/>
      <c r="B6" s="3127"/>
      <c r="C6" s="3290"/>
      <c r="D6" s="3583" t="s">
        <v>1596</v>
      </c>
      <c r="E6" s="3584"/>
      <c r="F6" s="3585"/>
      <c r="G6" s="3583" t="s">
        <v>1597</v>
      </c>
      <c r="H6" s="3584"/>
      <c r="I6" s="3585"/>
      <c r="J6" s="299"/>
    </row>
    <row r="7" spans="1:13" ht="17.25" customHeight="1">
      <c r="A7" s="3014"/>
      <c r="B7" s="3016"/>
      <c r="C7" s="3291"/>
      <c r="D7" s="281" t="s">
        <v>248</v>
      </c>
      <c r="E7" s="281" t="s">
        <v>246</v>
      </c>
      <c r="F7" s="281" t="s">
        <v>249</v>
      </c>
      <c r="G7" s="281" t="s">
        <v>250</v>
      </c>
      <c r="H7" s="281" t="s">
        <v>251</v>
      </c>
      <c r="I7" s="281" t="s">
        <v>252</v>
      </c>
      <c r="J7" s="452" t="s">
        <v>1798</v>
      </c>
    </row>
    <row r="8" spans="1:13" ht="41.25" customHeight="1">
      <c r="A8" s="1143" t="s">
        <v>28</v>
      </c>
      <c r="B8" s="1141" t="s">
        <v>207</v>
      </c>
      <c r="C8" s="291" t="s">
        <v>225</v>
      </c>
      <c r="D8" s="428">
        <f>'Погонаж база'!BJ15*(1+скидки_наценки!$B$30)*скидки_наценки!$D$19*скидки_наценки!$F$19/скидки_наценки!$B$4</f>
        <v>2460</v>
      </c>
      <c r="E8" s="428">
        <f>'Погонаж база'!BK15*(1+скидки_наценки!$B$30)*скидки_наценки!$D$19*скидки_наценки!$F$19/скидки_наценки!$B$4</f>
        <v>2830</v>
      </c>
      <c r="F8" s="428">
        <f>'Погонаж база'!BL15*(1+скидки_наценки!$B$30)*скидки_наценки!$D$19*скидки_наценки!$F$19/скидки_наценки!$B$4</f>
        <v>3970</v>
      </c>
      <c r="G8" s="428">
        <f>'Погонаж база'!BM15*(1+скидки_наценки!$B$30)*скидки_наценки!$D$19*скидки_наценки!$F$19/скидки_наценки!$B$4</f>
        <v>870</v>
      </c>
      <c r="H8" s="428">
        <f>'Погонаж база'!BN15*(1+скидки_наценки!$B$30)*скидки_наценки!$D$19*скидки_наценки!$F$19/скидки_наценки!$B$4</f>
        <v>1000</v>
      </c>
      <c r="I8" s="428">
        <f>'Погонаж база'!BO15*(1+скидки_наценки!$B$30)*скидки_наценки!$D$19*скидки_наценки!$F$19/скидки_наценки!$B$4</f>
        <v>1390</v>
      </c>
      <c r="J8" s="428">
        <f>'Погонаж база'!BP15*(1+скидки_наценки!$B$30)*скидки_наценки!$D$19*скидки_наценки!$F$19/скидки_наценки!$B$4</f>
        <v>6160</v>
      </c>
    </row>
    <row r="9" spans="1:13" ht="41.25" customHeight="1">
      <c r="A9" s="3467" t="s">
        <v>25</v>
      </c>
      <c r="B9" s="1142" t="s">
        <v>1281</v>
      </c>
      <c r="C9" s="298" t="s">
        <v>225</v>
      </c>
      <c r="D9" s="457">
        <f>'Погонаж база'!BJ16*(1+скидки_наценки!$B$29)*скидки_наценки!$D$19*скидки_наценки!$F$19/скидки_наценки!$B$4</f>
        <v>2600</v>
      </c>
      <c r="E9" s="457">
        <f>'Погонаж база'!BK16*(1+скидки_наценки!$B$29)*скидки_наценки!$D$19*скидки_наценки!$F$19/скидки_наценки!$B$4</f>
        <v>3000</v>
      </c>
      <c r="F9" s="457">
        <f>'Погонаж база'!BL16*(1+скидки_наценки!$B$29)*скидки_наценки!$D$19*скидки_наценки!$F$19/скидки_наценки!$B$4</f>
        <v>4200</v>
      </c>
      <c r="G9" s="457">
        <f>'Погонаж база'!BM16*(1+скидки_наценки!$B$29)*скидки_наценки!$D$19*скидки_наценки!$F$19/скидки_наценки!$B$4</f>
        <v>950</v>
      </c>
      <c r="H9" s="457">
        <f>'Погонаж база'!BN16*(1+скидки_наценки!$B$29)*скидки_наценки!$D$19*скидки_наценки!$F$19/скидки_наценки!$B$4</f>
        <v>1050</v>
      </c>
      <c r="I9" s="457">
        <f>'Погонаж база'!BO16*(1+скидки_наценки!$B$29)*скидки_наценки!$D$19*скидки_наценки!$F$19/скидки_наценки!$B$4</f>
        <v>1500</v>
      </c>
      <c r="J9" s="457">
        <f>'Погонаж база'!BP16*(1+скидки_наценки!$B$29)*скидки_наценки!$D$19*скидки_наценки!$F$19/скидки_наценки!$B$4</f>
        <v>6500</v>
      </c>
    </row>
    <row r="10" spans="1:13" ht="72" customHeight="1">
      <c r="A10" s="3467"/>
      <c r="B10" s="1141" t="s">
        <v>1288</v>
      </c>
      <c r="C10" s="1368" t="s">
        <v>225</v>
      </c>
      <c r="D10" s="428">
        <f>'Погонаж база'!BJ17*(1+скидки_наценки!$B$29)*скидки_наценки!$D$19*скидки_наценки!$F$19/скидки_наценки!$B$4</f>
        <v>2800</v>
      </c>
      <c r="E10" s="428">
        <f>'Погонаж база'!BK17*(1+скидки_наценки!$B$29)*скидки_наценки!$D$19*скидки_наценки!$F$19/скидки_наценки!$B$4</f>
        <v>3200</v>
      </c>
      <c r="F10" s="428">
        <f>'Погонаж база'!BL17*(1+скидки_наценки!$B$29)*скидки_наценки!$D$19*скидки_наценки!$F$19/скидки_наценки!$B$4</f>
        <v>4500</v>
      </c>
      <c r="G10" s="428">
        <f>'Погонаж база'!BM17*(1+скидки_наценки!$B$29)*скидки_наценки!$D$19*скидки_наценки!$F$19/скидки_наценки!$B$4</f>
        <v>1000</v>
      </c>
      <c r="H10" s="428">
        <f>'Погонаж база'!BN17*(1+скидки_наценки!$B$29)*скидки_наценки!$D$19*скидки_наценки!$F$19/скидки_наценки!$B$4</f>
        <v>1150</v>
      </c>
      <c r="I10" s="428">
        <f>'Погонаж база'!BO17*(1+скидки_наценки!$B$29)*скидки_наценки!$D$19*скидки_наценки!$F$19/скидки_наценки!$B$4</f>
        <v>1600</v>
      </c>
      <c r="J10" s="428">
        <f>'Погонаж база'!BP17*(1+скидки_наценки!$B$29)*скидки_наценки!$D$19*скидки_наценки!$F$19/скидки_наценки!$B$4</f>
        <v>7000</v>
      </c>
      <c r="K10" s="1435"/>
    </row>
    <row r="11" spans="1:13" ht="72" customHeight="1">
      <c r="A11" s="3468"/>
      <c r="B11" s="1847" t="s">
        <v>1806</v>
      </c>
      <c r="C11" s="1881"/>
      <c r="D11" s="457">
        <f>'Погонаж база'!BJ18*(1+скидки_наценки!$B$29)*скидки_наценки!$D$19*скидки_наценки!$F$19/скидки_наценки!$B$4</f>
        <v>2950</v>
      </c>
      <c r="E11" s="457">
        <f>'Погонаж база'!BK18*(1+скидки_наценки!$B$29)*скидки_наценки!$D$19*скидки_наценки!$F$19/скидки_наценки!$B$4</f>
        <v>3350</v>
      </c>
      <c r="F11" s="457">
        <f>'Погонаж база'!BL18*(1+скидки_наценки!$B$29)*скидки_наценки!$D$19*скидки_наценки!$F$19/скидки_наценки!$B$4</f>
        <v>4700</v>
      </c>
      <c r="G11" s="457">
        <f>'Погонаж база'!BM18*(1+скидки_наценки!$B$29)*скидки_наценки!$D$19*скидки_наценки!$F$19/скидки_наценки!$B$4</f>
        <v>1050</v>
      </c>
      <c r="H11" s="457">
        <f>'Погонаж база'!BN18*(1+скидки_наценки!$B$29)*скидки_наценки!$D$19*скидки_наценки!$F$19/скидки_наценки!$B$4</f>
        <v>1200</v>
      </c>
      <c r="I11" s="457">
        <f>'Погонаж база'!BO18*(1+скидки_наценки!$B$29)*скидки_наценки!$D$19*скидки_наценки!$F$19/скидки_наценки!$B$4</f>
        <v>1650</v>
      </c>
      <c r="J11" s="457">
        <f>'Погонаж база'!BP18*(1+скидки_наценки!$B$29)*скидки_наценки!$D$19*скидки_наценки!$F$19/скидки_наценки!$B$4</f>
        <v>7300</v>
      </c>
      <c r="K11" s="1435"/>
    </row>
    <row r="12" spans="1:13" ht="41.25" customHeight="1">
      <c r="A12" s="3467"/>
      <c r="B12" s="1141" t="s">
        <v>1293</v>
      </c>
      <c r="C12" s="1841" t="s">
        <v>225</v>
      </c>
      <c r="D12" s="428">
        <f>'Погонаж база'!BJ19*(1+скидки_наценки!$B$29)*скидки_наценки!$D$19*скидки_наценки!$F$19/скидки_наценки!$B$4</f>
        <v>3050</v>
      </c>
      <c r="E12" s="428">
        <f>'Погонаж база'!BK19*(1+скидки_наценки!$B$29)*скидки_наценки!$D$19*скидки_наценки!$F$19/скидки_наценки!$B$4</f>
        <v>3500</v>
      </c>
      <c r="F12" s="428">
        <f>'Погонаж база'!BL19*(1+скидки_наценки!$B$29)*скидки_наценки!$D$19*скидки_наценки!$F$19/скидки_наценки!$B$4</f>
        <v>4900</v>
      </c>
      <c r="G12" s="428">
        <f>'Погонаж база'!BM19*(1+скидки_наценки!$B$29)*скидки_наценки!$D$19*скидки_наценки!$F$19/скидки_наценки!$B$4</f>
        <v>1100</v>
      </c>
      <c r="H12" s="428">
        <f>'Погонаж база'!BN19*(1+скидки_наценки!$B$29)*скидки_наценки!$D$19*скидки_наценки!$F$19/скидки_наценки!$B$4</f>
        <v>1250</v>
      </c>
      <c r="I12" s="428">
        <f>'Погонаж база'!BO19*(1+скидки_наценки!$B$29)*скидки_наценки!$D$19*скидки_наценки!$F$19/скидки_наценки!$B$4</f>
        <v>1750</v>
      </c>
      <c r="J12" s="428">
        <f>'Погонаж база'!BP19*(1+скидки_наценки!$B$29)*скидки_наценки!$D$19*скидки_наценки!$F$19/скидки_наценки!$B$4</f>
        <v>7600</v>
      </c>
    </row>
    <row r="13" spans="1:13" ht="18" customHeight="1">
      <c r="A13" s="289"/>
      <c r="B13" s="809"/>
      <c r="C13" s="289"/>
      <c r="D13" s="289"/>
      <c r="E13" s="289"/>
      <c r="F13" s="289"/>
      <c r="G13" s="289"/>
      <c r="H13" s="61"/>
    </row>
    <row r="14" spans="1:13" ht="18" customHeight="1">
      <c r="A14" s="26"/>
      <c r="B14" s="53" t="s">
        <v>27</v>
      </c>
      <c r="C14" s="40"/>
      <c r="D14" s="40"/>
      <c r="E14" s="40"/>
      <c r="F14" s="40"/>
      <c r="G14" s="40"/>
      <c r="H14" s="237"/>
    </row>
    <row r="15" spans="1:13" ht="57.75" customHeight="1">
      <c r="A15" s="622">
        <v>1</v>
      </c>
      <c r="B15" s="3582" t="s">
        <v>827</v>
      </c>
      <c r="C15" s="3582"/>
      <c r="D15" s="3582"/>
      <c r="E15" s="3582"/>
      <c r="F15" s="3582"/>
      <c r="G15" s="3582"/>
      <c r="H15" s="3582"/>
    </row>
    <row r="16" spans="1:13" ht="36.75" customHeight="1">
      <c r="A16" s="622">
        <v>2</v>
      </c>
      <c r="B16" s="3582" t="s">
        <v>825</v>
      </c>
      <c r="C16" s="3582"/>
      <c r="D16" s="3582"/>
      <c r="E16" s="3582"/>
      <c r="F16" s="3582"/>
      <c r="G16" s="3582"/>
      <c r="H16" s="3582"/>
    </row>
    <row r="17" spans="1:18" ht="52.5" customHeight="1">
      <c r="A17" s="622">
        <v>3</v>
      </c>
      <c r="B17" s="3582" t="s">
        <v>826</v>
      </c>
      <c r="C17" s="3582"/>
      <c r="D17" s="3582"/>
      <c r="E17" s="3582"/>
      <c r="F17" s="3582"/>
      <c r="G17" s="3582"/>
      <c r="H17" s="3582"/>
    </row>
    <row r="18" spans="1:18" ht="19.5" customHeight="1">
      <c r="A18" s="622">
        <v>4</v>
      </c>
      <c r="B18" s="429" t="s">
        <v>1393</v>
      </c>
      <c r="C18" s="430"/>
      <c r="D18" s="430"/>
      <c r="E18" s="431"/>
      <c r="F18" s="432"/>
      <c r="G18" s="432"/>
      <c r="H18" s="432"/>
    </row>
    <row r="19" spans="1:18" ht="15" customHeight="1">
      <c r="A19" s="622">
        <v>5</v>
      </c>
      <c r="B19" s="429" t="s">
        <v>1483</v>
      </c>
      <c r="C19" s="430"/>
      <c r="D19" s="430"/>
      <c r="E19" s="431"/>
      <c r="F19" s="432"/>
      <c r="G19" s="432"/>
      <c r="H19" s="432"/>
    </row>
    <row r="20" spans="1:18" ht="21" customHeight="1">
      <c r="A20" s="622">
        <v>6</v>
      </c>
      <c r="B20" s="429" t="s">
        <v>501</v>
      </c>
      <c r="C20" s="430"/>
      <c r="D20" s="430"/>
      <c r="E20" s="431"/>
      <c r="F20" s="432"/>
      <c r="G20" s="432"/>
      <c r="H20" s="432"/>
    </row>
    <row r="21" spans="1:18" ht="18" customHeight="1">
      <c r="A21" s="622">
        <v>7</v>
      </c>
      <c r="B21" s="3581" t="s">
        <v>915</v>
      </c>
      <c r="C21" s="3581"/>
      <c r="D21" s="3581"/>
      <c r="E21" s="3581"/>
      <c r="F21" s="3581"/>
      <c r="G21" s="3581"/>
    </row>
    <row r="22" spans="1:18" ht="33" customHeight="1">
      <c r="A22" s="36"/>
      <c r="B22" s="3581"/>
      <c r="C22" s="3581"/>
      <c r="D22" s="3581"/>
      <c r="E22" s="3581"/>
      <c r="F22" s="3581"/>
      <c r="G22" s="3581"/>
    </row>
    <row r="23" spans="1:18" ht="15">
      <c r="A23" s="36"/>
      <c r="B23" s="175"/>
      <c r="C23" s="172"/>
      <c r="D23" s="172"/>
      <c r="E23" s="237"/>
      <c r="F23" s="59"/>
      <c r="G23" s="269"/>
    </row>
    <row r="24" spans="1:18" ht="15">
      <c r="A24" s="151"/>
      <c r="B24" s="151"/>
      <c r="C24" s="151"/>
      <c r="D24" s="151"/>
      <c r="E24" s="269"/>
      <c r="F24" s="269"/>
      <c r="G24" s="269"/>
    </row>
    <row r="25" spans="1:18" ht="15">
      <c r="A25" s="152"/>
      <c r="B25" s="37"/>
      <c r="C25" s="151"/>
      <c r="D25" s="151"/>
      <c r="E25" s="151"/>
      <c r="F25" s="151"/>
      <c r="G25" s="151"/>
    </row>
    <row r="26" spans="1:18" s="83" customFormat="1" ht="18" customHeight="1">
      <c r="A26" s="70"/>
      <c r="B26" s="70"/>
      <c r="C26" s="70"/>
      <c r="D26" s="70"/>
      <c r="E26" s="70"/>
      <c r="F26" s="70"/>
      <c r="G26" s="70"/>
      <c r="H26" s="70"/>
      <c r="I26" s="68"/>
      <c r="J26" s="68"/>
      <c r="K26" s="68"/>
      <c r="L26" s="68"/>
      <c r="M26" s="68"/>
    </row>
    <row r="27" spans="1:18" s="83" customFormat="1" ht="18" customHeight="1">
      <c r="A27" s="70"/>
      <c r="B27" s="70"/>
      <c r="C27" s="70"/>
      <c r="D27" s="70"/>
      <c r="E27" s="70"/>
      <c r="F27" s="70"/>
      <c r="G27" s="70"/>
      <c r="H27" s="70"/>
      <c r="I27" s="68"/>
      <c r="J27" s="68"/>
      <c r="K27" s="68"/>
      <c r="L27" s="68"/>
      <c r="M27" s="68"/>
    </row>
    <row r="28" spans="1:18" s="83" customFormat="1" ht="18" customHeight="1">
      <c r="A28" s="70"/>
      <c r="B28" s="70"/>
      <c r="C28" s="70"/>
      <c r="D28" s="70"/>
      <c r="E28" s="70"/>
      <c r="F28" s="70"/>
      <c r="G28" s="70"/>
      <c r="H28" s="70"/>
      <c r="I28" s="68"/>
      <c r="J28" s="68"/>
      <c r="K28" s="68"/>
      <c r="L28" s="68"/>
      <c r="M28" s="68"/>
    </row>
    <row r="29" spans="1:18" s="83" customFormat="1" ht="18" customHeight="1">
      <c r="A29" s="70"/>
      <c r="B29" s="70"/>
      <c r="C29" s="70"/>
      <c r="D29" s="70"/>
      <c r="E29" s="70"/>
      <c r="F29" s="70"/>
      <c r="G29" s="70"/>
      <c r="H29" s="70"/>
      <c r="I29" s="68"/>
      <c r="J29" s="68"/>
      <c r="K29" s="68"/>
      <c r="L29" s="68"/>
      <c r="M29" s="68"/>
    </row>
    <row r="30" spans="1:18" s="83" customFormat="1" ht="18" customHeight="1">
      <c r="A30" s="70"/>
      <c r="B30" s="70"/>
      <c r="C30" s="70"/>
      <c r="D30" s="70"/>
      <c r="E30" s="70"/>
      <c r="F30" s="70"/>
      <c r="G30" s="70"/>
      <c r="H30" s="70"/>
      <c r="I30" s="68"/>
      <c r="J30" s="68"/>
      <c r="K30" s="68"/>
      <c r="L30" s="68"/>
      <c r="M30" s="68"/>
    </row>
    <row r="31" spans="1:18" s="83" customFormat="1" ht="18" customHeight="1">
      <c r="A31" s="70"/>
      <c r="B31" s="70"/>
      <c r="C31" s="70"/>
      <c r="D31" s="70"/>
      <c r="E31" s="70"/>
      <c r="F31" s="70"/>
      <c r="G31" s="70"/>
      <c r="H31" s="70"/>
      <c r="I31" s="68"/>
      <c r="J31" s="68"/>
      <c r="K31" s="68"/>
      <c r="L31" s="68"/>
      <c r="M31" s="68"/>
    </row>
    <row r="32" spans="1:18" ht="15">
      <c r="A32" s="71"/>
      <c r="B32" s="17"/>
      <c r="C32" s="150"/>
      <c r="D32" s="150"/>
      <c r="E32" s="150"/>
      <c r="F32" s="150"/>
      <c r="G32" s="150"/>
      <c r="H32" s="150"/>
      <c r="I32" s="150"/>
      <c r="J32" s="150"/>
      <c r="K32" s="71"/>
      <c r="L32" s="71"/>
      <c r="M32" s="71"/>
      <c r="N32" s="263"/>
      <c r="O32" s="263"/>
      <c r="P32" s="263"/>
      <c r="Q32" s="263"/>
      <c r="R32" s="263"/>
    </row>
    <row r="33" spans="1:14" s="100" customFormat="1" ht="21.6" customHeight="1">
      <c r="A33" s="104"/>
      <c r="B33" s="105"/>
      <c r="C33" s="101"/>
      <c r="D33" s="101"/>
      <c r="E33" s="105"/>
      <c r="F33" s="105"/>
      <c r="G33" s="105"/>
      <c r="H33" s="105"/>
      <c r="I33" s="105"/>
      <c r="J33" s="105"/>
      <c r="K33" s="105"/>
      <c r="L33" s="105"/>
      <c r="M33" s="180"/>
      <c r="N33" s="71"/>
    </row>
    <row r="34" spans="1:14" s="100" customFormat="1" ht="12" customHeight="1">
      <c r="A34" s="106"/>
      <c r="B34" s="223"/>
      <c r="C34" s="102"/>
      <c r="D34" s="102"/>
      <c r="E34" s="104"/>
      <c r="F34" s="104"/>
      <c r="G34" s="104"/>
      <c r="H34" s="104"/>
      <c r="I34" s="104"/>
      <c r="J34" s="104"/>
      <c r="K34" s="104"/>
      <c r="L34" s="104"/>
    </row>
    <row r="35" spans="1:14" s="100" customFormat="1" ht="12" customHeight="1">
      <c r="A35" s="104"/>
      <c r="B35" s="223"/>
      <c r="C35" s="103"/>
      <c r="D35" s="103"/>
      <c r="E35" s="103"/>
      <c r="F35" s="103"/>
      <c r="G35" s="103"/>
      <c r="H35" s="103"/>
      <c r="I35" s="103"/>
      <c r="J35" s="103"/>
      <c r="K35" s="103"/>
      <c r="L35" s="103"/>
    </row>
    <row r="36" spans="1:14" ht="18" customHeight="1">
      <c r="B36" s="225"/>
    </row>
    <row r="37" spans="1:14" ht="18" customHeight="1"/>
    <row r="38" spans="1:14" ht="18" customHeight="1"/>
    <row r="39" spans="1:14" ht="18" customHeight="1"/>
    <row r="41" spans="1:14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</row>
    <row r="42" spans="1:14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</row>
    <row r="43" spans="1:14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</row>
    <row r="44" spans="1:1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</row>
    <row r="45" spans="1:14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</row>
    <row r="46" spans="1:14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</row>
    <row r="47" spans="1:14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</row>
    <row r="48" spans="1:14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</row>
    <row r="49" spans="1:1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</row>
    <row r="50" spans="1:1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</row>
    <row r="51" spans="1:1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</row>
    <row r="52" spans="1:1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</row>
    <row r="53" spans="1:1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</row>
    <row r="54" spans="1:1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</row>
    <row r="55" spans="1:1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</row>
    <row r="56" spans="1:1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</row>
    <row r="57" spans="1:1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</row>
    <row r="58" spans="1:1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</row>
    <row r="59" spans="1:1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</row>
    <row r="60" spans="1:1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</row>
    <row r="61" spans="1:1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</row>
    <row r="62" spans="1:1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</row>
    <row r="63" spans="1:1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</row>
    <row r="64" spans="1:1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</row>
    <row r="65" spans="1:1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</row>
    <row r="66" spans="1:1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</row>
  </sheetData>
  <mergeCells count="11">
    <mergeCell ref="D5:F5"/>
    <mergeCell ref="G5:I5"/>
    <mergeCell ref="B15:H15"/>
    <mergeCell ref="C5:C7"/>
    <mergeCell ref="A5:B7"/>
    <mergeCell ref="A9:A12"/>
    <mergeCell ref="B21:G22"/>
    <mergeCell ref="B16:H16"/>
    <mergeCell ref="B17:H17"/>
    <mergeCell ref="D6:F6"/>
    <mergeCell ref="G6:I6"/>
  </mergeCells>
  <conditionalFormatting sqref="D34:F34 G34:O35 E33:L33 E35:F35">
    <cfRule type="cellIs" dxfId="4" priority="1" operator="equal">
      <formula>"нет"</formula>
    </cfRule>
  </conditionalFormatting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4" orientation="landscape" useFirstPageNumber="1" r:id="rId1"/>
  <headerFooter>
    <oddFooter>&amp;L&amp;P&amp;R&amp;22&amp;G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2">
    <tabColor rgb="FF92D050"/>
    <pageSetUpPr fitToPage="1"/>
  </sheetPr>
  <dimension ref="S1:V8"/>
  <sheetViews>
    <sheetView view="pageBreakPreview" zoomScale="85" zoomScaleNormal="85" zoomScaleSheetLayoutView="85" workbookViewId="0">
      <selection activeCell="W19" sqref="W19"/>
    </sheetView>
  </sheetViews>
  <sheetFormatPr defaultColWidth="9.140625" defaultRowHeight="15"/>
  <cols>
    <col min="1" max="18" width="9.140625" style="112"/>
    <col min="19" max="22" width="9.140625" style="112" hidden="1" customWidth="1"/>
    <col min="23" max="23" width="9.140625" style="112"/>
    <col min="24" max="24" width="0" style="112" hidden="1" customWidth="1"/>
    <col min="25" max="16384" width="9.140625" style="112"/>
  </cols>
  <sheetData>
    <row r="1" spans="19:22">
      <c r="S1" s="114" t="e">
        <f>VLOOKUP(R1,$U$1:$V$8,2,0)</f>
        <v>#N/A</v>
      </c>
      <c r="U1" s="112" t="s">
        <v>9</v>
      </c>
      <c r="V1" s="115">
        <v>0</v>
      </c>
    </row>
    <row r="2" spans="19:22">
      <c r="U2" s="112" t="s">
        <v>8</v>
      </c>
      <c r="V2" s="115">
        <v>0.03</v>
      </c>
    </row>
    <row r="3" spans="19:22">
      <c r="U3" s="112" t="s">
        <v>10</v>
      </c>
      <c r="V3" s="115">
        <v>0.06</v>
      </c>
    </row>
    <row r="4" spans="19:22">
      <c r="U4" s="112" t="s">
        <v>11</v>
      </c>
      <c r="V4" s="115">
        <v>0.09</v>
      </c>
    </row>
    <row r="5" spans="19:22">
      <c r="U5" s="112" t="s">
        <v>12</v>
      </c>
      <c r="V5" s="115">
        <v>0.12</v>
      </c>
    </row>
    <row r="6" spans="19:22">
      <c r="U6" s="112" t="s">
        <v>13</v>
      </c>
      <c r="V6" s="115">
        <v>0.15</v>
      </c>
    </row>
    <row r="7" spans="19:22">
      <c r="U7" s="112" t="s">
        <v>14</v>
      </c>
      <c r="V7" s="115">
        <v>0.18</v>
      </c>
    </row>
    <row r="8" spans="19:22">
      <c r="U8" s="112" t="s">
        <v>15</v>
      </c>
      <c r="V8" s="115">
        <v>0.2</v>
      </c>
    </row>
  </sheetData>
  <printOptions horizontalCentered="1"/>
  <pageMargins left="0" right="0" top="0" bottom="0" header="0" footer="0"/>
  <pageSetup paperSize="9" scale="92" orientation="landscape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32">
    <tabColor rgb="FF92D050"/>
  </sheetPr>
  <dimension ref="A1:P150"/>
  <sheetViews>
    <sheetView view="pageBreakPreview" zoomScale="85" zoomScaleNormal="70" zoomScaleSheetLayoutView="85" zoomScalePageLayoutView="70" workbookViewId="0">
      <pane ySplit="1" topLeftCell="A2" activePane="bottomLeft" state="frozen"/>
      <selection pane="bottomLeft" activeCell="S20" sqref="S20"/>
    </sheetView>
  </sheetViews>
  <sheetFormatPr defaultColWidth="8.85546875" defaultRowHeight="12.75"/>
  <cols>
    <col min="1" max="1" width="6.85546875" style="143" customWidth="1"/>
    <col min="2" max="2" width="13.7109375" style="143" customWidth="1"/>
    <col min="3" max="9" width="15.7109375" style="143" customWidth="1"/>
    <col min="10" max="10" width="15.5703125" style="143" customWidth="1"/>
    <col min="11" max="13" width="17.140625" style="143" customWidth="1"/>
    <col min="14" max="14" width="17.140625" style="143" hidden="1" customWidth="1"/>
    <col min="15" max="15" width="17" style="143" customWidth="1"/>
    <col min="16" max="16" width="17.140625" style="143" customWidth="1"/>
    <col min="17" max="16384" width="8.85546875" style="143"/>
  </cols>
  <sheetData>
    <row r="1" spans="1:16" s="146" customFormat="1" ht="18" customHeight="1">
      <c r="A1" s="1042"/>
      <c r="B1" s="1034" t="s">
        <v>307</v>
      </c>
      <c r="C1" s="1029"/>
      <c r="D1" s="1043"/>
      <c r="E1" s="1043"/>
      <c r="F1" s="1043"/>
      <c r="G1" s="1043"/>
      <c r="H1" s="1043"/>
      <c r="I1" s="1043"/>
      <c r="J1" s="1044"/>
      <c r="K1" s="1044"/>
      <c r="L1" s="1044"/>
      <c r="M1" s="1043"/>
    </row>
    <row r="2" spans="1:16" s="380" customFormat="1" ht="18" customHeight="1">
      <c r="A2" s="379"/>
      <c r="B2" s="490"/>
      <c r="C2" s="24"/>
      <c r="D2" s="24"/>
      <c r="E2" s="24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</row>
    <row r="3" spans="1:16" s="141" customFormat="1" ht="18" customHeight="1">
      <c r="A3" s="81"/>
      <c r="B3" s="81"/>
      <c r="C3" s="81"/>
      <c r="D3" s="81"/>
      <c r="E3" s="81"/>
      <c r="F3" s="81"/>
      <c r="G3" s="81"/>
      <c r="H3" s="81"/>
      <c r="I3" s="81"/>
      <c r="J3" s="142"/>
      <c r="K3" s="81"/>
      <c r="L3" s="81"/>
      <c r="M3" s="81"/>
    </row>
    <row r="4" spans="1:16" ht="18" customHeight="1">
      <c r="A4" s="3590" t="s">
        <v>90</v>
      </c>
      <c r="B4" s="3590"/>
      <c r="C4" s="3591" t="s">
        <v>91</v>
      </c>
      <c r="D4" s="3591"/>
      <c r="E4" s="3591"/>
      <c r="F4" s="3591"/>
      <c r="G4" s="3591"/>
      <c r="H4" s="3591"/>
      <c r="I4" s="3591"/>
      <c r="J4" s="3591"/>
      <c r="K4" s="3591"/>
      <c r="L4" s="3591"/>
      <c r="M4" s="3591"/>
      <c r="N4" s="3611" t="s">
        <v>1572</v>
      </c>
      <c r="O4" s="3611"/>
      <c r="P4" s="3611"/>
    </row>
    <row r="5" spans="1:16" ht="18" customHeight="1">
      <c r="A5" s="3590"/>
      <c r="B5" s="3590"/>
      <c r="C5" s="3592" t="s">
        <v>129</v>
      </c>
      <c r="D5" s="3593"/>
      <c r="E5" s="3592" t="s">
        <v>130</v>
      </c>
      <c r="F5" s="3593"/>
      <c r="G5" s="3592" t="s">
        <v>131</v>
      </c>
      <c r="H5" s="3593"/>
      <c r="I5" s="3596" t="s">
        <v>152</v>
      </c>
      <c r="J5" s="3597"/>
      <c r="K5" s="3596" t="s">
        <v>132</v>
      </c>
      <c r="L5" s="3598"/>
      <c r="M5" s="3598"/>
      <c r="N5" s="3610" t="s">
        <v>133</v>
      </c>
      <c r="O5" s="3610" t="s">
        <v>114</v>
      </c>
      <c r="P5" s="3619" t="s">
        <v>188</v>
      </c>
    </row>
    <row r="6" spans="1:16" s="144" customFormat="1" ht="18" customHeight="1">
      <c r="A6" s="3590"/>
      <c r="B6" s="3590"/>
      <c r="C6" s="3594"/>
      <c r="D6" s="3595"/>
      <c r="E6" s="3594"/>
      <c r="F6" s="3595"/>
      <c r="G6" s="3617" t="s">
        <v>287</v>
      </c>
      <c r="H6" s="3618"/>
      <c r="I6" s="1456" t="s">
        <v>153</v>
      </c>
      <c r="J6" s="1457" t="s">
        <v>154</v>
      </c>
      <c r="K6" s="3599"/>
      <c r="L6" s="3599"/>
      <c r="M6" s="3599"/>
      <c r="N6" s="3610"/>
      <c r="O6" s="3610"/>
      <c r="P6" s="3619"/>
    </row>
    <row r="7" spans="1:16" s="144" customFormat="1" ht="50.1" customHeight="1">
      <c r="A7" s="3590"/>
      <c r="B7" s="3590"/>
      <c r="C7" s="3600"/>
      <c r="D7" s="3601"/>
      <c r="E7" s="3600"/>
      <c r="F7" s="3601"/>
      <c r="G7" s="3604"/>
      <c r="H7" s="3605"/>
      <c r="I7" s="3608"/>
      <c r="J7" s="3608"/>
      <c r="K7" s="3599"/>
      <c r="L7" s="3599"/>
      <c r="M7" s="3599"/>
      <c r="N7" s="3610"/>
      <c r="O7" s="3610"/>
      <c r="P7" s="3619"/>
    </row>
    <row r="8" spans="1:16" s="144" customFormat="1" ht="69.95" customHeight="1">
      <c r="A8" s="3590"/>
      <c r="B8" s="3590"/>
      <c r="C8" s="3602"/>
      <c r="D8" s="3603"/>
      <c r="E8" s="3602"/>
      <c r="F8" s="3603"/>
      <c r="G8" s="3606"/>
      <c r="H8" s="3607"/>
      <c r="I8" s="3609"/>
      <c r="J8" s="3609"/>
      <c r="K8" s="1458" t="s">
        <v>151</v>
      </c>
      <c r="L8" s="1459" t="s">
        <v>155</v>
      </c>
      <c r="M8" s="1459" t="s">
        <v>159</v>
      </c>
      <c r="N8" s="3610"/>
      <c r="O8" s="3610"/>
      <c r="P8" s="3619"/>
    </row>
    <row r="9" spans="1:16" ht="45" customHeight="1">
      <c r="A9" s="3590"/>
      <c r="B9" s="3590"/>
      <c r="C9" s="1460" t="s">
        <v>92</v>
      </c>
      <c r="D9" s="1461" t="s">
        <v>93</v>
      </c>
      <c r="E9" s="1461" t="s">
        <v>92</v>
      </c>
      <c r="F9" s="1461" t="s">
        <v>93</v>
      </c>
      <c r="G9" s="1461" t="s">
        <v>92</v>
      </c>
      <c r="H9" s="1461" t="s">
        <v>93</v>
      </c>
      <c r="I9" s="1462" t="s">
        <v>94</v>
      </c>
      <c r="J9" s="1462" t="s">
        <v>95</v>
      </c>
      <c r="K9" s="1463" t="s">
        <v>510</v>
      </c>
      <c r="L9" s="1463" t="s">
        <v>510</v>
      </c>
      <c r="M9" s="1463" t="s">
        <v>510</v>
      </c>
      <c r="N9" s="1461" t="s">
        <v>1116</v>
      </c>
      <c r="O9" s="1461" t="s">
        <v>1116</v>
      </c>
      <c r="P9" s="1461" t="s">
        <v>1117</v>
      </c>
    </row>
    <row r="10" spans="1:16" s="146" customFormat="1" ht="60.75" hidden="1" customHeight="1">
      <c r="A10" s="3405" t="s">
        <v>946</v>
      </c>
      <c r="B10" s="1141" t="s">
        <v>1217</v>
      </c>
      <c r="C10" s="285">
        <f>CEILING('Погонаж база'!CV13*(1+скидки_наценки!$B$28)*скидки_наценки!$D$19*скидки_наценки!$F$19/скидки_наценки!$B$4, 50)</f>
        <v>0</v>
      </c>
      <c r="D10" s="285">
        <f>CEILING('Погонаж база'!CW13*(1+скидки_наценки!$B$28)*скидки_наценки!$D$19*скидки_наценки!$F$19/скидки_наценки!$B$4, 50)</f>
        <v>0</v>
      </c>
      <c r="E10" s="285">
        <f>CEILING('Погонаж база'!CX13*(1+скидки_наценки!$B$28)*скидки_наценки!$D$19*скидки_наценки!$F$19/скидки_наценки!$B$4, 50)</f>
        <v>0</v>
      </c>
      <c r="F10" s="285">
        <f>CEILING('Погонаж база'!CY13*(1+скидки_наценки!$B$28)*скидки_наценки!$D$19*скидки_наценки!$F$19/скидки_наценки!$B$4, 50)</f>
        <v>0</v>
      </c>
      <c r="G10" s="285">
        <f>CEILING('Погонаж база'!CZ13*(1+скидки_наценки!$B$28)*скидки_наценки!$D$19*скидки_наценки!$F$19/скидки_наценки!$B$4, 50)</f>
        <v>0</v>
      </c>
      <c r="H10" s="285">
        <f>CEILING('Погонаж база'!DA13*(1+скидки_наценки!$B$28)*скидки_наценки!$D$19*скидки_наценки!$F$19/скидки_наценки!$B$4, 50)</f>
        <v>0</v>
      </c>
      <c r="I10" s="285">
        <f>CEILING('Погонаж база'!DB13*(1+скидки_наценки!$B$28)*скидки_наценки!$D$19*скидки_наценки!$F$19/скидки_наценки!$B$4, 50)</f>
        <v>0</v>
      </c>
      <c r="J10" s="285">
        <f>CEILING('Погонаж база'!DC13*(1+скидки_наценки!$B$28)*скидки_наценки!$D$19*скидки_наценки!$F$19/скидки_наценки!$B$4, 50)</f>
        <v>0</v>
      </c>
      <c r="K10" s="285">
        <f>CEILING('Погонаж база'!DD13*(1+скидки_наценки!$B$28)*скидки_наценки!$D$19*скидки_наценки!$F$19/скидки_наценки!$B$4, 50)</f>
        <v>0</v>
      </c>
      <c r="L10" s="285">
        <f>CEILING('Погонаж база'!DE13*(1+скидки_наценки!$B$28)*скидки_наценки!$D$19*скидки_наценки!$F$19/скидки_наценки!$B$4, 50)</f>
        <v>0</v>
      </c>
      <c r="M10" s="285">
        <f>CEILING('Погонаж база'!DF13*(1+скидки_наценки!$B$28)*скидки_наценки!$D$19*скидки_наценки!$F$19/скидки_наценки!$B$4, 50)</f>
        <v>0</v>
      </c>
      <c r="N10" s="285">
        <f>CEILING('Погонаж база'!DG13*(1+скидки_наценки!$B$28)*скидки_наценки!$D$19*скидки_наценки!$F$19/скидки_наценки!$B$4, 50)</f>
        <v>0</v>
      </c>
      <c r="O10" s="285">
        <f>CEILING('Погонаж база'!DH13*(1+скидки_наценки!$B$28)*скидки_наценки!$D$19*скидки_наценки!$F$19/скидки_наценки!$B$4, 50)</f>
        <v>0</v>
      </c>
      <c r="P10" s="285">
        <f>CEILING('Погонаж база'!DI13*(1+скидки_наценки!$B$28)*скидки_наценки!$D$19*скидки_наценки!$F$19/скидки_наценки!$B$4, 50)</f>
        <v>0</v>
      </c>
    </row>
    <row r="11" spans="1:16" s="146" customFormat="1" ht="60.75" hidden="1" customHeight="1">
      <c r="A11" s="3405"/>
      <c r="B11" s="1142" t="s">
        <v>1218</v>
      </c>
      <c r="C11" s="286">
        <f>CEILING(C10*1.07, 50)</f>
        <v>0</v>
      </c>
      <c r="D11" s="286">
        <f t="shared" ref="D11:P11" si="0">CEILING(D10*1.07, 50)</f>
        <v>0</v>
      </c>
      <c r="E11" s="286">
        <f t="shared" si="0"/>
        <v>0</v>
      </c>
      <c r="F11" s="286">
        <f t="shared" si="0"/>
        <v>0</v>
      </c>
      <c r="G11" s="286">
        <f t="shared" si="0"/>
        <v>0</v>
      </c>
      <c r="H11" s="286">
        <f t="shared" si="0"/>
        <v>0</v>
      </c>
      <c r="I11" s="286">
        <f t="shared" si="0"/>
        <v>0</v>
      </c>
      <c r="J11" s="286">
        <f t="shared" si="0"/>
        <v>0</v>
      </c>
      <c r="K11" s="286">
        <f t="shared" si="0"/>
        <v>0</v>
      </c>
      <c r="L11" s="286">
        <f t="shared" si="0"/>
        <v>0</v>
      </c>
      <c r="M11" s="286">
        <f t="shared" si="0"/>
        <v>0</v>
      </c>
      <c r="N11" s="286">
        <f t="shared" si="0"/>
        <v>0</v>
      </c>
      <c r="O11" s="286">
        <f t="shared" si="0"/>
        <v>0</v>
      </c>
      <c r="P11" s="286">
        <f t="shared" si="0"/>
        <v>0</v>
      </c>
    </row>
    <row r="12" spans="1:16" s="146" customFormat="1" ht="50.1" customHeight="1">
      <c r="A12" s="1143" t="s">
        <v>28</v>
      </c>
      <c r="B12" s="1141" t="s">
        <v>207</v>
      </c>
      <c r="C12" s="285">
        <f>'Погонаж база'!CV15*(1+скидки_наценки!$B$30)*скидки_наценки!$D$19*скидки_наценки!$F$19/скидки_наценки!$B$4</f>
        <v>3670</v>
      </c>
      <c r="D12" s="285">
        <f>'Погонаж база'!CW15*(1+скидки_наценки!$B$30)*скидки_наценки!$D$19*скидки_наценки!$F$19/скидки_наценки!$B$4</f>
        <v>4230</v>
      </c>
      <c r="E12" s="285">
        <f>'Погонаж база'!CX15*(1+скидки_наценки!$B$30)*скидки_наценки!$D$19*скидки_наценки!$F$19/скидки_наценки!$B$4</f>
        <v>4590</v>
      </c>
      <c r="F12" s="285">
        <f>'Погонаж база'!CY15*(1+скидки_наценки!$B$30)*скидки_наценки!$D$19*скидки_наценки!$F$19/скидки_наценки!$B$4</f>
        <v>5510</v>
      </c>
      <c r="G12" s="285">
        <f>'Погонаж база'!CZ15*(1+скидки_наценки!$B$30)*скидки_наценки!$D$19*скидки_наценки!$F$19/скидки_наценки!$B$4</f>
        <v>4780</v>
      </c>
      <c r="H12" s="285">
        <f>'Погонаж база'!DA15*(1+скидки_наценки!$B$30)*скидки_наценки!$D$19*скидки_наценки!$F$19/скидки_наценки!$B$4</f>
        <v>5740</v>
      </c>
      <c r="I12" s="285">
        <f>'Погонаж база'!DB15*(1+скидки_наценки!$B$30)*скидки_наценки!$D$19*скидки_наценки!$F$19/скидки_наценки!$B$4</f>
        <v>5630</v>
      </c>
      <c r="J12" s="285">
        <f>'Погонаж база'!DC15*(1+скидки_наценки!$B$30)*скидки_наценки!$D$19*скидки_наценки!$F$19/скидки_наценки!$B$4</f>
        <v>5630</v>
      </c>
      <c r="K12" s="1295">
        <f>CEILING('Погонаж база'!DD15*(1+скидки_наценки!$B$30)*скидки_наценки!$D$19*скидки_наценки!$F$19/скидки_наценки!$B$4, 50)</f>
        <v>10550</v>
      </c>
      <c r="L12" s="1295">
        <f>CEILING('Погонаж база'!DE15*(1+скидки_наценки!$B$30)*скидки_наценки!$D$19*скидки_наценки!$F$19/скидки_наценки!$B$4, 50)</f>
        <v>10550</v>
      </c>
      <c r="M12" s="1295">
        <f>CEILING('Погонаж база'!DF15*(1+скидки_наценки!$B$30)*скидки_наценки!$D$19*скидки_наценки!$F$19/скидки_наценки!$B$4, 50)</f>
        <v>10550</v>
      </c>
      <c r="N12" s="1621">
        <f>CEILING('Погонаж база'!DG15*(1+скидки_наценки!$B$30)*скидки_наценки!$D$19*скидки_наценки!$F$19/скидки_наценки!$B$4, 50)</f>
        <v>2550</v>
      </c>
      <c r="O12" s="1621">
        <f>'Погонаж база'!DH15*(1+скидки_наценки!$B$30)*скидки_наценки!$D$19*скидки_наценки!$F$19/скидки_наценки!$B$4</f>
        <v>3040</v>
      </c>
      <c r="P12" s="285">
        <f>'Погонаж база'!DI15*(1+скидки_наценки!$B$30)*скидки_наценки!$D$19*скидки_наценки!$F$19/скидки_наценки!$B$4</f>
        <v>1420</v>
      </c>
    </row>
    <row r="13" spans="1:16" s="146" customFormat="1" ht="50.1" customHeight="1">
      <c r="A13" s="3467" t="s">
        <v>25</v>
      </c>
      <c r="B13" s="1142" t="s">
        <v>1292</v>
      </c>
      <c r="C13" s="286">
        <f>'Погонаж база'!CV16*(1+скидки_наценки!$B$29)*скидки_наценки!$D$19*скидки_наценки!$F$19/скидки_наценки!$B$4</f>
        <v>3900</v>
      </c>
      <c r="D13" s="286">
        <f>'Погонаж база'!CW16*(1+скидки_наценки!$B$29)*скидки_наценки!$D$19*скидки_наценки!$F$19/скидки_наценки!$B$4</f>
        <v>4450</v>
      </c>
      <c r="E13" s="286">
        <f>'Погонаж база'!CX16*(1+скидки_наценки!$B$29)*скидки_наценки!$D$19*скидки_наценки!$F$19/скидки_наценки!$B$4</f>
        <v>4850</v>
      </c>
      <c r="F13" s="286">
        <f>'Погонаж база'!CY16*(1+скидки_наценки!$B$29)*скидки_наценки!$D$19*скидки_наценки!$F$19/скидки_наценки!$B$4</f>
        <v>5800</v>
      </c>
      <c r="G13" s="286">
        <f>'Погонаж база'!CZ16*(1+скидки_наценки!$B$29)*скидки_наценки!$D$19*скидки_наценки!$F$19/скидки_наценки!$B$4</f>
        <v>5050</v>
      </c>
      <c r="H13" s="286">
        <f>'Погонаж база'!DA16*(1+скидки_наценки!$B$29)*скидки_наценки!$D$19*скидки_наценки!$F$19/скидки_наценки!$B$4</f>
        <v>6050</v>
      </c>
      <c r="I13" s="286">
        <f>'Погонаж база'!DB16*(1+скидки_наценки!$B$29)*скидки_наценки!$D$19*скидки_наценки!$F$19/скидки_наценки!$B$4</f>
        <v>5950</v>
      </c>
      <c r="J13" s="286">
        <f>'Погонаж база'!DC16*(1+скидки_наценки!$B$29)*скидки_наценки!$D$19*скидки_наценки!$F$19/скидки_наценки!$B$4</f>
        <v>5950</v>
      </c>
      <c r="K13" s="286">
        <f>'Погонаж база'!DD16*(1+скидки_наценки!$B$29)*скидки_наценки!$D$19*скидки_наценки!$F$19/скидки_наценки!$B$4</f>
        <v>11050</v>
      </c>
      <c r="L13" s="286">
        <f>'Погонаж база'!DE16*(1+скидки_наценки!$B$29)*скидки_наценки!$D$19*скидки_наценки!$F$19/скидки_наценки!$B$4</f>
        <v>11050</v>
      </c>
      <c r="M13" s="286">
        <f>'Погонаж база'!DF16*(1+скидки_наценки!$B$29)*скидки_наценки!$D$19*скидки_наценки!$F$19/скидки_наценки!$B$4</f>
        <v>11050</v>
      </c>
      <c r="N13" s="1622">
        <f>CEILING('Погонаж база'!DG16*(1+скидки_наценки!$B$29)*скидки_наценки!$D$19*скидки_наценки!$F$19/скидки_наценки!$B$4, 50)</f>
        <v>2700</v>
      </c>
      <c r="O13" s="1622">
        <f>'Погонаж база'!DH16*(1+скидки_наценки!$B$29)*скидки_наценки!$D$19*скидки_наценки!$F$19/скидки_наценки!$B$4</f>
        <v>3200</v>
      </c>
      <c r="P13" s="286">
        <f>'Погонаж база'!DI16*(1+скидки_наценки!$B$29)*скидки_наценки!$D$19*скидки_наценки!$F$19/скидки_наценки!$B$4</f>
        <v>1500</v>
      </c>
    </row>
    <row r="14" spans="1:16" s="146" customFormat="1" ht="50.1" customHeight="1">
      <c r="A14" s="3467"/>
      <c r="B14" s="1141" t="s">
        <v>1321</v>
      </c>
      <c r="C14" s="285">
        <f>'Погонаж база'!CV17*(1+скидки_наценки!$B$29)*скидки_наценки!$D$19*скидки_наценки!$F$19/скидки_наценки!$B$4</f>
        <v>4150</v>
      </c>
      <c r="D14" s="285">
        <f>'Погонаж база'!CW17*(1+скидки_наценки!$B$29)*скидки_наценки!$D$19*скидки_наценки!$F$19/скидки_наценки!$B$4</f>
        <v>4800</v>
      </c>
      <c r="E14" s="285">
        <f>'Погонаж база'!CX17*(1+скидки_наценки!$B$29)*скидки_наценки!$D$19*скидки_наценки!$F$19/скидки_наценки!$B$4</f>
        <v>5200</v>
      </c>
      <c r="F14" s="285">
        <f>'Погонаж база'!CY17*(1+скидки_наценки!$B$29)*скидки_наценки!$D$19*скидки_наценки!$F$19/скидки_наценки!$B$4</f>
        <v>6250</v>
      </c>
      <c r="G14" s="285">
        <f>'Погонаж база'!CZ17*(1+скидки_наценки!$B$29)*скидки_наценки!$D$19*скидки_наценки!$F$19/скидки_наценки!$B$4</f>
        <v>5450</v>
      </c>
      <c r="H14" s="285">
        <f>'Погонаж база'!DA17*(1+скидки_наценки!$B$29)*скидки_наценки!$D$19*скидки_наценки!$F$19/скидки_наценки!$B$4</f>
        <v>6500</v>
      </c>
      <c r="I14" s="285">
        <f>'Погонаж база'!DB17*(1+скидки_наценки!$B$29)*скидки_наценки!$D$19*скидки_наценки!$F$19/скидки_наценки!$B$4</f>
        <v>6400</v>
      </c>
      <c r="J14" s="285">
        <f>'Погонаж база'!DC17*(1+скидки_наценки!$B$29)*скидки_наценки!$D$19*скидки_наценки!$F$19/скидки_наценки!$B$4</f>
        <v>6400</v>
      </c>
      <c r="K14" s="285">
        <f>'Погонаж база'!DD17*(1+скидки_наценки!$B$29)*скидки_наценки!$D$19*скидки_наценки!$F$19/скидки_наценки!$B$4</f>
        <v>11900</v>
      </c>
      <c r="L14" s="285">
        <f>'Погонаж база'!DE17*(1+скидки_наценки!$B$29)*скидки_наценки!$D$19*скидки_наценки!$F$19/скидки_наценки!$B$4</f>
        <v>11900</v>
      </c>
      <c r="M14" s="285">
        <f>'Погонаж база'!DF17*(1+скидки_наценки!$B$29)*скидки_наценки!$D$19*скидки_наценки!$F$19/скидки_наценки!$B$4</f>
        <v>11900</v>
      </c>
      <c r="N14" s="1621">
        <f>CEILING('Погонаж база'!DG17*(1+скидки_наценки!$B$29)*скидки_наценки!$D$19*скидки_наценки!$F$19/скидки_наценки!$B$4, 50)</f>
        <v>2900</v>
      </c>
      <c r="O14" s="1621">
        <f>'Погонаж база'!DH17*(1+скидки_наценки!$B$29)*скидки_наценки!$D$19*скидки_наценки!$F$19/скидки_наценки!$B$4</f>
        <v>3450</v>
      </c>
      <c r="P14" s="285">
        <f>'Погонаж база'!DI17*(1+скидки_наценки!$B$29)*скидки_наценки!$D$19*скидки_наценки!$F$19/скидки_наценки!$B$4</f>
        <v>1610</v>
      </c>
    </row>
    <row r="15" spans="1:16" s="146" customFormat="1" ht="50.1" customHeight="1">
      <c r="A15" s="3467"/>
      <c r="B15" s="1142" t="s">
        <v>1322</v>
      </c>
      <c r="C15" s="286">
        <f>'Погонаж база'!CV19*(1+скидки_наценки!$B$29)*скидки_наценки!$D$19*скидки_наценки!$F$19/скидки_наценки!$B$4</f>
        <v>4550</v>
      </c>
      <c r="D15" s="286">
        <f>'Погонаж база'!CW19*(1+скидки_наценки!$B$29)*скидки_наценки!$D$19*скидки_наценки!$F$19/скидки_наценки!$B$4</f>
        <v>5250</v>
      </c>
      <c r="E15" s="286">
        <f>'Погонаж база'!CX19*(1+скидки_наценки!$B$29)*скидки_наценки!$D$19*скидки_наценки!$F$19/скидки_наценки!$B$4</f>
        <v>5650</v>
      </c>
      <c r="F15" s="286">
        <f>'Погонаж база'!CY19*(1+скидки_наценки!$B$29)*скидки_наценки!$D$19*скидки_наценки!$F$19/скидки_наценки!$B$4</f>
        <v>6800</v>
      </c>
      <c r="G15" s="286"/>
      <c r="H15" s="286"/>
      <c r="I15" s="286"/>
      <c r="J15" s="286"/>
      <c r="K15" s="286">
        <f>'Погонаж база'!DD19*(1+скидки_наценки!$B$29)*скидки_наценки!$D$19*скидки_наценки!$F$19/скидки_наценки!$B$4</f>
        <v>12950</v>
      </c>
      <c r="L15" s="286">
        <f>'Погонаж база'!DE19*(1+скидки_наценки!$B$29)*скидки_наценки!$D$19*скидки_наценки!$F$19/скидки_наценки!$B$4</f>
        <v>12950</v>
      </c>
      <c r="M15" s="286">
        <f>'Погонаж база'!DF19*(1+скидки_наценки!$B$29)*скидки_наценки!$D$19*скидки_наценки!$F$19/скидки_наценки!$B$4</f>
        <v>12950</v>
      </c>
      <c r="N15" s="1622">
        <f>CEILING('Погонаж база'!DG19*(1+скидки_наценки!$B$29)*скидки_наценки!$D$19*скидки_наценки!$F$19/скидки_наценки!$B$4, 50)</f>
        <v>3150</v>
      </c>
      <c r="O15" s="1622">
        <f>'Погонаж база'!DH19*(1+скидки_наценки!$B$29)*скидки_наценки!$D$19*скидки_наценки!$F$19/скидки_наценки!$B$4</f>
        <v>3750</v>
      </c>
      <c r="P15" s="286">
        <f>'Погонаж база'!DI19*(1+скидки_наценки!$B$29)*скидки_наценки!$D$19*скидки_наценки!$F$19/скидки_наценки!$B$4</f>
        <v>1750</v>
      </c>
    </row>
    <row r="16" spans="1:16" s="146" customFormat="1" ht="15.75">
      <c r="A16" s="216"/>
      <c r="B16" s="809"/>
      <c r="C16" s="287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</row>
    <row r="17" spans="1:16" s="147" customFormat="1" ht="15">
      <c r="A17" s="82"/>
      <c r="B17" s="82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</row>
    <row r="18" spans="1:16" s="147" customFormat="1" ht="11.25" customHeight="1">
      <c r="A18" s="219" t="s">
        <v>19</v>
      </c>
      <c r="B18" s="212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</row>
    <row r="19" spans="1:16" s="147" customFormat="1" ht="70.900000000000006" customHeight="1">
      <c r="A19" s="3612" t="s">
        <v>1410</v>
      </c>
      <c r="B19" s="3612"/>
      <c r="C19" s="286">
        <f>IFERROR(#REF!*#REF!*скидки_наценки!$D$13*скидки_наценки!$F$13,0)</f>
        <v>0</v>
      </c>
      <c r="D19" s="286">
        <f>IFERROR(#REF!*#REF!*скидки_наценки!$D$13*скидки_наценки!$F$13,0)</f>
        <v>0</v>
      </c>
      <c r="E19" s="286">
        <f>IFERROR(#REF!*#REF!*скидки_наценки!$D$13*скидки_наценки!$F$13,0)</f>
        <v>0</v>
      </c>
      <c r="F19" s="286">
        <f>IFERROR(#REF!*#REF!*скидки_наценки!$D$13*скидки_наценки!$F$13,0)</f>
        <v>0</v>
      </c>
      <c r="G19" s="2534">
        <v>0.01</v>
      </c>
      <c r="H19" s="2534">
        <v>0.01</v>
      </c>
      <c r="I19" s="286">
        <f>'Погонаж база'!CX20*скидки_наценки!$D$13*скидки_наценки!$F$13/скидки_наценки!$B$4</f>
        <v>0</v>
      </c>
      <c r="J19" s="286">
        <f>'Погонаж база'!CY20*скидки_наценки!$D$13*скидки_наценки!$F$13/скидки_наценки!$B$4</f>
        <v>0</v>
      </c>
      <c r="K19" s="784">
        <f>'Погонаж база'!DD20*скидки_наценки!$D$13*скидки_наценки!$F$13/скидки_наценки!$B$4</f>
        <v>0</v>
      </c>
      <c r="L19" s="2534">
        <v>0.01</v>
      </c>
      <c r="M19" s="784">
        <f>IFERROR(#REF!*#REF!*скидки_наценки!$D$13*скидки_наценки!$F$13,0)</f>
        <v>0</v>
      </c>
      <c r="N19" s="1330" t="e">
        <f>CEILING(#REF!*(1+скидки_наценки!$B$32)*скидки_наценки!$D$21*скидки_наценки!$F$21/скидки_наценки!$B$4, 50)</f>
        <v>#REF!</v>
      </c>
      <c r="O19" s="286">
        <f>IFERROR('Погонаж база'!DH20*скидки_наценки!$D$13*скидки_наценки!$F$13,0)</f>
        <v>0</v>
      </c>
      <c r="P19" s="286">
        <f>IFERROR('Погонаж база'!DI20*скидки_наценки!$D$13*скидки_наценки!$F$13,0)</f>
        <v>0</v>
      </c>
    </row>
    <row r="20" spans="1:16" s="147" customFormat="1" ht="43.5" customHeight="1">
      <c r="A20" s="231"/>
      <c r="B20" s="1326"/>
      <c r="C20" s="1327"/>
      <c r="D20" s="1422"/>
      <c r="E20" s="132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</row>
    <row r="21" spans="1:16" s="147" customFormat="1" ht="50.25" customHeight="1">
      <c r="A21" s="231"/>
      <c r="B21" s="3614"/>
      <c r="C21" s="3614"/>
      <c r="D21" s="3614"/>
      <c r="E21" s="3614"/>
      <c r="F21" s="148"/>
      <c r="G21" s="148"/>
      <c r="H21" s="148"/>
      <c r="I21" s="148"/>
      <c r="J21" s="148"/>
      <c r="K21" s="148"/>
      <c r="L21" s="148"/>
      <c r="M21" s="148"/>
      <c r="N21" s="221"/>
      <c r="O21" s="221"/>
      <c r="P21" s="220"/>
    </row>
    <row r="22" spans="1:16" s="147" customFormat="1" ht="51.6" customHeight="1">
      <c r="A22" s="231"/>
      <c r="B22" s="231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221"/>
      <c r="O22" s="221"/>
      <c r="P22" s="220"/>
    </row>
    <row r="23" spans="1:16" s="147" customFormat="1" ht="19.899999999999999" customHeight="1">
      <c r="A23" s="231"/>
      <c r="B23" s="231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221"/>
      <c r="O23" s="221"/>
      <c r="P23" s="220"/>
    </row>
    <row r="24" spans="1:16" s="147" customFormat="1" ht="19.899999999999999" customHeight="1">
      <c r="A24" s="231"/>
      <c r="B24" s="231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221"/>
      <c r="O24" s="221"/>
      <c r="P24" s="220"/>
    </row>
    <row r="25" spans="1:16" s="147" customFormat="1" ht="19.899999999999999" customHeight="1">
      <c r="A25" s="231"/>
      <c r="B25" s="231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221"/>
      <c r="O25" s="221"/>
      <c r="P25" s="220"/>
    </row>
    <row r="26" spans="1:16" s="147" customFormat="1" ht="19.899999999999999" customHeight="1">
      <c r="A26" s="231"/>
      <c r="B26" s="231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221"/>
      <c r="O26" s="221"/>
      <c r="P26" s="220"/>
    </row>
    <row r="27" spans="1:16" s="147" customFormat="1" ht="19.899999999999999" customHeight="1">
      <c r="A27" s="231"/>
      <c r="B27" s="231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221"/>
      <c r="O27" s="221"/>
      <c r="P27" s="220"/>
    </row>
    <row r="28" spans="1:16" s="147" customFormat="1" ht="19.899999999999999" customHeight="1">
      <c r="A28" s="231"/>
      <c r="B28" s="231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221"/>
      <c r="O28" s="221"/>
      <c r="P28" s="220"/>
    </row>
    <row r="29" spans="1:16" s="147" customFormat="1" ht="19.899999999999999" customHeight="1">
      <c r="A29" s="231"/>
      <c r="B29" s="231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221"/>
      <c r="O29" s="221"/>
      <c r="P29" s="220"/>
    </row>
    <row r="30" spans="1:16" s="147" customFormat="1" ht="19.899999999999999" customHeight="1">
      <c r="A30" s="231"/>
      <c r="B30" s="231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221"/>
      <c r="O30" s="221"/>
      <c r="P30" s="220"/>
    </row>
    <row r="31" spans="1:16" s="147" customFormat="1" ht="19.899999999999999" customHeight="1">
      <c r="A31" s="231"/>
      <c r="B31" s="231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221"/>
      <c r="O31" s="221"/>
      <c r="P31" s="220"/>
    </row>
    <row r="32" spans="1:16" s="147" customFormat="1" ht="19.899999999999999" customHeight="1">
      <c r="A32" s="231"/>
      <c r="B32" s="231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221"/>
      <c r="O32" s="221"/>
      <c r="P32" s="220"/>
    </row>
    <row r="33" spans="1:16" s="147" customFormat="1" ht="19.899999999999999" customHeight="1">
      <c r="A33" s="231"/>
      <c r="B33" s="231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221"/>
      <c r="O33" s="221"/>
      <c r="P33" s="220"/>
    </row>
    <row r="34" spans="1:16" s="147" customFormat="1" ht="19.899999999999999" customHeight="1">
      <c r="A34" s="231"/>
      <c r="B34" s="231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221"/>
      <c r="O34" s="221"/>
      <c r="P34" s="220"/>
    </row>
    <row r="35" spans="1:16" s="147" customFormat="1" ht="19.899999999999999" customHeight="1">
      <c r="A35" s="231"/>
      <c r="B35" s="231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221"/>
      <c r="O35" s="221"/>
      <c r="P35" s="220"/>
    </row>
    <row r="36" spans="1:16" s="147" customFormat="1" ht="19.899999999999999" customHeight="1">
      <c r="A36" s="231"/>
      <c r="B36" s="231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221"/>
      <c r="O36" s="221"/>
      <c r="P36" s="220"/>
    </row>
    <row r="37" spans="1:16" s="147" customFormat="1" ht="19.899999999999999" customHeight="1">
      <c r="A37" s="231"/>
      <c r="B37" s="231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221"/>
      <c r="O37" s="221"/>
      <c r="P37" s="220"/>
    </row>
    <row r="38" spans="1:16" s="147" customFormat="1" ht="19.899999999999999" customHeight="1">
      <c r="A38" s="231"/>
      <c r="B38" s="231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221"/>
      <c r="O38" s="221"/>
      <c r="P38" s="220"/>
    </row>
    <row r="39" spans="1:16" s="147" customFormat="1" ht="19.899999999999999" customHeight="1">
      <c r="A39" s="231"/>
      <c r="B39" s="231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221"/>
      <c r="O39" s="221"/>
      <c r="P39" s="220"/>
    </row>
    <row r="40" spans="1:16" s="147" customFormat="1" ht="19.899999999999999" customHeight="1">
      <c r="A40" s="231"/>
      <c r="B40" s="231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221"/>
      <c r="O40" s="221"/>
      <c r="P40" s="220"/>
    </row>
    <row r="41" spans="1:16" s="147" customFormat="1" ht="19.899999999999999" customHeight="1">
      <c r="A41" s="231"/>
      <c r="B41" s="231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221"/>
      <c r="O41" s="221"/>
      <c r="P41" s="220"/>
    </row>
    <row r="42" spans="1:16" s="147" customFormat="1" ht="19.899999999999999" customHeight="1">
      <c r="A42" s="231"/>
      <c r="B42" s="231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221"/>
      <c r="O42" s="221"/>
      <c r="P42" s="220"/>
    </row>
    <row r="43" spans="1:16" s="147" customFormat="1" ht="19.899999999999999" customHeight="1">
      <c r="A43" s="231"/>
      <c r="B43" s="231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221"/>
      <c r="O43" s="221"/>
      <c r="P43" s="220"/>
    </row>
    <row r="44" spans="1:16" s="147" customFormat="1" ht="19.899999999999999" customHeight="1">
      <c r="A44" s="231"/>
      <c r="B44" s="231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221"/>
      <c r="O44" s="221"/>
      <c r="P44" s="220"/>
    </row>
    <row r="45" spans="1:16" s="147" customFormat="1" ht="19.899999999999999" customHeight="1">
      <c r="A45" s="231"/>
      <c r="B45" s="231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221"/>
      <c r="O45" s="221"/>
      <c r="P45" s="220"/>
    </row>
    <row r="46" spans="1:16" s="147" customFormat="1" ht="19.899999999999999" customHeight="1">
      <c r="A46" s="231"/>
      <c r="B46" s="231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221"/>
      <c r="O46" s="221"/>
      <c r="P46" s="220"/>
    </row>
    <row r="47" spans="1:16" s="147" customFormat="1" ht="19.899999999999999" customHeight="1">
      <c r="A47" s="231"/>
      <c r="B47" s="231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221"/>
      <c r="O47" s="221"/>
      <c r="P47" s="220"/>
    </row>
    <row r="48" spans="1:16" s="147" customFormat="1" ht="19.899999999999999" customHeight="1">
      <c r="A48" s="231"/>
      <c r="B48" s="231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221"/>
      <c r="O48" s="221"/>
      <c r="P48" s="220"/>
    </row>
    <row r="49" spans="1:16" s="147" customFormat="1" ht="19.899999999999999" customHeight="1">
      <c r="A49" s="231"/>
      <c r="B49" s="231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221"/>
      <c r="O49" s="221"/>
      <c r="P49" s="220"/>
    </row>
    <row r="50" spans="1:16" s="147" customFormat="1" ht="19.899999999999999" customHeight="1">
      <c r="A50" s="231"/>
      <c r="B50" s="231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221"/>
      <c r="O50" s="221"/>
      <c r="P50" s="220"/>
    </row>
    <row r="51" spans="1:16" s="147" customFormat="1" ht="19.899999999999999" customHeight="1">
      <c r="A51" s="231"/>
      <c r="B51" s="231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221"/>
      <c r="O51" s="221"/>
      <c r="P51" s="220"/>
    </row>
    <row r="52" spans="1:16" s="147" customFormat="1" ht="19.899999999999999" customHeight="1">
      <c r="A52" s="231"/>
      <c r="B52" s="231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221"/>
      <c r="O52" s="221"/>
      <c r="P52" s="220"/>
    </row>
    <row r="53" spans="1:16" s="147" customFormat="1" ht="19.899999999999999" customHeight="1">
      <c r="A53" s="231"/>
      <c r="B53" s="231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221"/>
      <c r="O53" s="221"/>
      <c r="P53" s="220"/>
    </row>
    <row r="54" spans="1:16" s="147" customFormat="1" ht="19.899999999999999" customHeight="1">
      <c r="A54" s="231"/>
      <c r="B54" s="231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221"/>
      <c r="O54" s="221"/>
      <c r="P54" s="220"/>
    </row>
    <row r="55" spans="1:16" s="147" customFormat="1" ht="19.899999999999999" customHeight="1">
      <c r="A55" s="231"/>
      <c r="B55" s="231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221"/>
      <c r="O55" s="221"/>
      <c r="P55" s="220"/>
    </row>
    <row r="56" spans="1:16" s="147" customFormat="1" ht="19.899999999999999" customHeight="1">
      <c r="A56" s="231"/>
      <c r="B56" s="231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221"/>
      <c r="O56" s="221"/>
      <c r="P56" s="220"/>
    </row>
    <row r="57" spans="1:16" s="147" customFormat="1" ht="19.899999999999999" customHeight="1">
      <c r="A57" s="231"/>
      <c r="B57" s="231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221"/>
      <c r="O57" s="221"/>
      <c r="P57" s="220"/>
    </row>
    <row r="58" spans="1:16" s="147" customFormat="1" ht="19.899999999999999" customHeight="1">
      <c r="A58" s="231"/>
      <c r="B58" s="231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221"/>
      <c r="O58" s="221"/>
      <c r="P58" s="220"/>
    </row>
    <row r="59" spans="1:16" s="147" customFormat="1" ht="19.899999999999999" customHeight="1">
      <c r="A59" s="231"/>
      <c r="B59" s="231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221"/>
      <c r="O59" s="221"/>
      <c r="P59" s="220"/>
    </row>
    <row r="60" spans="1:16" s="147" customFormat="1" ht="19.899999999999999" customHeight="1">
      <c r="A60" s="231"/>
      <c r="B60" s="231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221"/>
      <c r="O60" s="221"/>
      <c r="P60" s="220"/>
    </row>
    <row r="61" spans="1:16" s="141" customFormat="1" ht="19.899999999999999" customHeight="1">
      <c r="A61" s="79"/>
      <c r="B61" s="79"/>
      <c r="C61" s="93"/>
      <c r="D61" s="93"/>
      <c r="E61" s="93"/>
      <c r="F61" s="93"/>
      <c r="G61" s="93"/>
      <c r="H61" s="93"/>
      <c r="I61" s="93"/>
      <c r="J61" s="80"/>
      <c r="K61" s="80"/>
      <c r="L61" s="80"/>
      <c r="M61" s="93"/>
    </row>
    <row r="62" spans="1:16" s="141" customFormat="1" ht="19.899999999999999" customHeight="1">
      <c r="A62" s="79"/>
      <c r="B62" s="79"/>
      <c r="C62" s="111"/>
      <c r="D62" s="93"/>
      <c r="E62" s="93"/>
      <c r="F62" s="93"/>
      <c r="G62" s="111"/>
      <c r="H62" s="93"/>
      <c r="I62" s="1613"/>
      <c r="J62" s="1614"/>
      <c r="K62" s="1614"/>
      <c r="L62" s="1614"/>
      <c r="M62" s="1613"/>
      <c r="N62" s="1615"/>
      <c r="O62" s="1615"/>
      <c r="P62" s="1615"/>
    </row>
    <row r="63" spans="1:16" s="141" customFormat="1" ht="18" customHeight="1">
      <c r="A63" s="79"/>
      <c r="B63" s="79"/>
      <c r="C63" s="111"/>
      <c r="D63" s="93"/>
      <c r="E63" s="93"/>
      <c r="F63" s="93"/>
      <c r="G63" s="93"/>
      <c r="H63" s="93"/>
      <c r="I63" s="1613"/>
      <c r="J63" s="1614"/>
      <c r="K63" s="1614"/>
      <c r="L63" s="1614"/>
      <c r="M63" s="1613"/>
      <c r="N63" s="1615"/>
      <c r="O63" s="1615"/>
      <c r="P63" s="1615"/>
    </row>
    <row r="64" spans="1:16" s="141" customFormat="1" ht="18" customHeight="1">
      <c r="A64" s="79"/>
      <c r="B64" s="79"/>
      <c r="C64" s="79"/>
      <c r="D64" s="79"/>
      <c r="E64" s="79"/>
      <c r="F64" s="79"/>
      <c r="G64" s="111"/>
      <c r="H64" s="93"/>
      <c r="I64" s="1613"/>
      <c r="J64" s="1613"/>
      <c r="K64" s="1613"/>
      <c r="L64" s="1613"/>
      <c r="M64" s="1614"/>
      <c r="N64" s="1614"/>
      <c r="O64" s="1614"/>
      <c r="P64" s="1613"/>
    </row>
    <row r="65" spans="1:16" ht="39" customHeight="1">
      <c r="A65" s="3613" t="s">
        <v>90</v>
      </c>
      <c r="B65" s="3613"/>
      <c r="C65" s="3591" t="s">
        <v>96</v>
      </c>
      <c r="D65" s="3591"/>
      <c r="E65" s="3591"/>
      <c r="F65" s="3591"/>
      <c r="G65" s="3591"/>
      <c r="H65" s="3591"/>
      <c r="I65" s="1616"/>
      <c r="J65" s="1616"/>
      <c r="K65" s="1616"/>
      <c r="L65" s="1616"/>
      <c r="M65" s="1616"/>
      <c r="N65" s="1616"/>
      <c r="O65" s="1616"/>
      <c r="P65" s="1616"/>
    </row>
    <row r="66" spans="1:16" s="144" customFormat="1" ht="30" customHeight="1">
      <c r="A66" s="3613"/>
      <c r="B66" s="3613"/>
      <c r="C66" s="3615" t="s">
        <v>1804</v>
      </c>
      <c r="D66" s="3616"/>
      <c r="E66" s="3615" t="s">
        <v>130</v>
      </c>
      <c r="F66" s="3616"/>
      <c r="G66" s="3615" t="s">
        <v>1805</v>
      </c>
      <c r="H66" s="3615"/>
      <c r="I66" s="1617"/>
      <c r="J66" s="1617"/>
      <c r="K66" s="1617"/>
      <c r="L66" s="1617"/>
      <c r="M66" s="1617"/>
      <c r="N66" s="1617"/>
      <c r="O66" s="1617"/>
      <c r="P66" s="1617"/>
    </row>
    <row r="67" spans="1:16" ht="12.75" customHeight="1">
      <c r="A67" s="3613"/>
      <c r="B67" s="3613"/>
      <c r="C67" s="145" t="s">
        <v>1118</v>
      </c>
      <c r="D67" s="145" t="s">
        <v>1119</v>
      </c>
      <c r="E67" s="145" t="s">
        <v>1120</v>
      </c>
      <c r="F67" s="145" t="s">
        <v>1119</v>
      </c>
      <c r="G67" s="145" t="s">
        <v>1121</v>
      </c>
      <c r="H67" s="145" t="s">
        <v>1119</v>
      </c>
      <c r="I67" s="1616"/>
      <c r="J67" s="1616"/>
      <c r="K67" s="1616"/>
      <c r="L67" s="1616"/>
      <c r="M67" s="1616"/>
      <c r="N67" s="1616"/>
      <c r="O67" s="1616"/>
      <c r="P67" s="1616"/>
    </row>
    <row r="68" spans="1:16" s="146" customFormat="1" ht="63.75" hidden="1" customHeight="1">
      <c r="A68" s="3405" t="s">
        <v>946</v>
      </c>
      <c r="B68" s="1141" t="s">
        <v>1217</v>
      </c>
      <c r="C68" s="285">
        <f>IF(C10=0,0,C10+N10*2)</f>
        <v>0</v>
      </c>
      <c r="D68" s="285">
        <f>IF(D10=0,0,D10+N10*2)</f>
        <v>0</v>
      </c>
      <c r="E68" s="285">
        <f>IF(E10=0,0,E10+O10*2)</f>
        <v>0</v>
      </c>
      <c r="F68" s="285">
        <f>IF(F10=0,0,F10+O10*2)</f>
        <v>0</v>
      </c>
      <c r="G68" s="285" t="s">
        <v>3</v>
      </c>
      <c r="H68" s="285" t="s">
        <v>3</v>
      </c>
      <c r="I68" s="1618"/>
      <c r="J68" s="1618"/>
      <c r="K68" s="1618"/>
      <c r="L68" s="1618"/>
      <c r="M68" s="1618"/>
      <c r="N68" s="1618"/>
      <c r="O68" s="1618"/>
      <c r="P68" s="1618"/>
    </row>
    <row r="69" spans="1:16" s="146" customFormat="1" ht="63.75" hidden="1" customHeight="1">
      <c r="A69" s="3405"/>
      <c r="B69" s="1142" t="s">
        <v>1218</v>
      </c>
      <c r="C69" s="286">
        <f>CEILING(C68*1.07, 50)</f>
        <v>0</v>
      </c>
      <c r="D69" s="286">
        <f>CEILING(D68*1.07, 50)</f>
        <v>0</v>
      </c>
      <c r="E69" s="286">
        <f>CEILING(E68*1.07, 50)</f>
        <v>0</v>
      </c>
      <c r="F69" s="286">
        <f>CEILING(F68*1.07, 50)</f>
        <v>0</v>
      </c>
      <c r="G69" s="286"/>
      <c r="H69" s="286"/>
      <c r="I69" s="1618"/>
      <c r="J69" s="1618"/>
      <c r="K69" s="1618"/>
      <c r="L69" s="1618"/>
      <c r="M69" s="1618"/>
      <c r="N69" s="1618"/>
      <c r="O69" s="1618"/>
      <c r="P69" s="1618"/>
    </row>
    <row r="70" spans="1:16" s="146" customFormat="1" ht="45" customHeight="1">
      <c r="A70" s="1143" t="s">
        <v>28</v>
      </c>
      <c r="B70" s="1141" t="s">
        <v>207</v>
      </c>
      <c r="C70" s="285" t="s">
        <v>1311</v>
      </c>
      <c r="D70" s="285" t="s">
        <v>1311</v>
      </c>
      <c r="E70" s="285">
        <f>IF(E12=0,0,E12+O12*2)</f>
        <v>10670</v>
      </c>
      <c r="F70" s="285">
        <f>IF(F12=0,0,F12+O12*2)</f>
        <v>11590</v>
      </c>
      <c r="G70" s="285" t="s">
        <v>1311</v>
      </c>
      <c r="H70" s="285" t="s">
        <v>1311</v>
      </c>
      <c r="I70" s="1618"/>
      <c r="J70" s="1618"/>
      <c r="K70" s="1618"/>
      <c r="L70" s="1618"/>
      <c r="M70" s="1618"/>
      <c r="N70" s="1618"/>
      <c r="O70" s="1618"/>
      <c r="P70" s="1618"/>
    </row>
    <row r="71" spans="1:16" s="146" customFormat="1" ht="50.1" customHeight="1">
      <c r="A71" s="3467" t="s">
        <v>25</v>
      </c>
      <c r="B71" s="1142" t="s">
        <v>1292</v>
      </c>
      <c r="C71" s="286">
        <f>IF(C13=0,0,C13+Погонаж!J12*2)</f>
        <v>9200</v>
      </c>
      <c r="D71" s="286">
        <f>IF(D13=0,0,D13+Погонаж!J12*2)</f>
        <v>9750</v>
      </c>
      <c r="E71" s="286">
        <f>IF(E13=0,0,E13+O13*2)</f>
        <v>11250</v>
      </c>
      <c r="F71" s="286">
        <f>IF(F13=0,0,F13+O13*2)</f>
        <v>12200</v>
      </c>
      <c r="G71" s="286">
        <f>IF(G13=0,0,G13+Погонаж!J12*2)</f>
        <v>10350</v>
      </c>
      <c r="H71" s="286">
        <f>IF(H13=0,0,H13+Погонаж!J12*2)</f>
        <v>11350</v>
      </c>
      <c r="I71" s="1618"/>
      <c r="J71" s="1618"/>
      <c r="K71" s="1618"/>
      <c r="L71" s="1618"/>
      <c r="M71" s="1618"/>
      <c r="N71" s="1618"/>
      <c r="O71" s="1618"/>
      <c r="P71" s="1618"/>
    </row>
    <row r="72" spans="1:16" s="146" customFormat="1" ht="50.1" customHeight="1">
      <c r="A72" s="3467"/>
      <c r="B72" s="1141" t="s">
        <v>1287</v>
      </c>
      <c r="C72" s="285">
        <f>IF(C14=0,0,C14+Погонаж!J13*2)</f>
        <v>9850</v>
      </c>
      <c r="D72" s="285">
        <f>IF(D14=0,0,D14+Погонаж!J13*2)</f>
        <v>10500</v>
      </c>
      <c r="E72" s="285">
        <f>IF(E14=0,0,E14+O14*2)</f>
        <v>12100</v>
      </c>
      <c r="F72" s="285">
        <f>IF(F14=0,0,F14+O14*2)</f>
        <v>13150</v>
      </c>
      <c r="G72" s="285">
        <f>IF(G14=0,0,G14+Погонаж!J13*2)</f>
        <v>11150</v>
      </c>
      <c r="H72" s="285">
        <f>IF(H14=0,0,H14+Погонаж!J13*2)</f>
        <v>12200</v>
      </c>
      <c r="I72" s="1618"/>
      <c r="J72" s="1618"/>
      <c r="K72" s="1618"/>
      <c r="L72" s="1618"/>
      <c r="M72" s="1618"/>
      <c r="N72" s="1618"/>
      <c r="O72" s="1618"/>
      <c r="P72" s="1618"/>
    </row>
    <row r="73" spans="1:16" s="146" customFormat="1" ht="50.1" customHeight="1">
      <c r="A73" s="3467"/>
      <c r="B73" s="1142" t="s">
        <v>1293</v>
      </c>
      <c r="C73" s="286">
        <f>IF(C15=0,0,C15+Погонаж!J15*2)</f>
        <v>10750</v>
      </c>
      <c r="D73" s="286">
        <f>IF(D15=0,0,D15+Погонаж!J15*2)</f>
        <v>11450</v>
      </c>
      <c r="E73" s="286">
        <f>IF(E15=0,0,E15+O15*2)</f>
        <v>13150</v>
      </c>
      <c r="F73" s="286">
        <f>IF(F15=0,0,F15+O15*2)</f>
        <v>14300</v>
      </c>
      <c r="G73" s="286">
        <f>IF(G15=0,0,G15+N15*2)</f>
        <v>0</v>
      </c>
      <c r="H73" s="286">
        <f>IF(H15=0,0,H15+N15*2)</f>
        <v>0</v>
      </c>
      <c r="I73" s="1618"/>
      <c r="J73" s="1618"/>
      <c r="K73" s="1618"/>
      <c r="L73" s="1618"/>
      <c r="M73" s="1618"/>
      <c r="N73" s="1618"/>
      <c r="O73" s="1618"/>
      <c r="P73" s="1618"/>
    </row>
    <row r="74" spans="1:16" s="222" customFormat="1" ht="15.75">
      <c r="A74" s="216"/>
      <c r="B74" s="809"/>
      <c r="C74" s="287"/>
      <c r="D74" s="287"/>
      <c r="E74" s="287"/>
      <c r="F74" s="287"/>
      <c r="G74" s="287"/>
      <c r="H74" s="287"/>
      <c r="I74" s="1618"/>
      <c r="J74" s="1618"/>
      <c r="K74" s="1618"/>
      <c r="L74" s="1618"/>
      <c r="M74" s="1618"/>
      <c r="N74" s="1618"/>
      <c r="O74" s="1618"/>
      <c r="P74" s="1618"/>
    </row>
    <row r="75" spans="1:16" s="222" customFormat="1" ht="15.75">
      <c r="A75" s="216"/>
      <c r="B75" s="809"/>
      <c r="C75" s="287"/>
      <c r="D75" s="287"/>
      <c r="E75" s="287"/>
      <c r="F75" s="287"/>
      <c r="G75" s="287"/>
      <c r="H75" s="287"/>
      <c r="I75" s="1618"/>
      <c r="J75" s="1618"/>
      <c r="K75" s="1618"/>
      <c r="L75" s="1618"/>
      <c r="M75" s="1618"/>
      <c r="N75" s="1618"/>
      <c r="O75" s="1618"/>
      <c r="P75" s="1618"/>
    </row>
    <row r="76" spans="1:16" s="222" customFormat="1" ht="15">
      <c r="A76" s="219" t="s">
        <v>19</v>
      </c>
      <c r="B76" s="212"/>
      <c r="C76" s="288"/>
      <c r="D76" s="288"/>
      <c r="E76" s="288"/>
      <c r="F76" s="288"/>
      <c r="G76" s="288"/>
      <c r="H76" s="288"/>
      <c r="I76" s="1618"/>
      <c r="J76" s="1618"/>
      <c r="K76" s="1618"/>
      <c r="L76" s="1618"/>
      <c r="M76" s="1618"/>
      <c r="N76" s="1618"/>
      <c r="O76" s="1618"/>
      <c r="P76" s="1618"/>
    </row>
    <row r="77" spans="1:16" s="222" customFormat="1" ht="31.5" customHeight="1">
      <c r="A77" s="3612" t="s">
        <v>1411</v>
      </c>
      <c r="B77" s="3612"/>
      <c r="C77" s="286">
        <v>0</v>
      </c>
      <c r="D77" s="286">
        <v>0</v>
      </c>
      <c r="E77" s="286">
        <v>0</v>
      </c>
      <c r="F77" s="286">
        <v>0</v>
      </c>
      <c r="G77" s="286" t="e">
        <f>G19+N19+N19</f>
        <v>#REF!</v>
      </c>
      <c r="H77" s="286" t="e">
        <f>H19+N19+N19</f>
        <v>#REF!</v>
      </c>
      <c r="I77" s="1618"/>
      <c r="J77" s="1618"/>
      <c r="K77" s="1618"/>
      <c r="L77" s="1618"/>
      <c r="M77" s="1618"/>
      <c r="N77" s="1618"/>
      <c r="O77" s="1618"/>
      <c r="P77" s="1618"/>
    </row>
    <row r="78" spans="1:16" ht="15">
      <c r="C78" s="128"/>
      <c r="D78" s="128"/>
      <c r="E78" s="128"/>
      <c r="F78" s="128"/>
      <c r="G78" s="128"/>
      <c r="H78" s="128"/>
      <c r="I78" s="57"/>
      <c r="J78" s="57"/>
      <c r="K78" s="57"/>
      <c r="L78" s="57"/>
      <c r="M78" s="57"/>
      <c r="N78" s="1616"/>
      <c r="O78" s="1616"/>
      <c r="P78" s="1616"/>
    </row>
    <row r="79" spans="1:16" s="147" customFormat="1" ht="12" customHeight="1">
      <c r="C79" s="148"/>
      <c r="D79" s="148"/>
      <c r="E79" s="148"/>
      <c r="F79" s="148"/>
      <c r="G79" s="128"/>
      <c r="H79" s="128"/>
      <c r="I79" s="57"/>
      <c r="J79" s="1619"/>
      <c r="K79" s="148"/>
      <c r="L79" s="148"/>
      <c r="M79" s="57"/>
      <c r="N79" s="1620"/>
      <c r="O79" s="1620"/>
      <c r="P79" s="1620"/>
    </row>
    <row r="80" spans="1:16" s="73" customFormat="1" ht="12" customHeight="1">
      <c r="G80" s="128"/>
      <c r="H80" s="128"/>
      <c r="I80" s="57"/>
      <c r="J80" s="1585"/>
      <c r="K80" s="1585"/>
      <c r="L80" s="1585"/>
      <c r="M80" s="57"/>
      <c r="N80" s="1585"/>
      <c r="O80" s="1585"/>
      <c r="P80" s="1585"/>
    </row>
    <row r="81" spans="1:16" s="73" customFormat="1" ht="12" customHeight="1">
      <c r="G81" s="128"/>
      <c r="H81" s="128"/>
      <c r="I81" s="57"/>
      <c r="J81" s="1585"/>
      <c r="K81" s="1585"/>
      <c r="L81" s="1585"/>
      <c r="M81" s="57"/>
      <c r="N81" s="1585"/>
      <c r="O81" s="1585"/>
      <c r="P81" s="1585"/>
    </row>
    <row r="82" spans="1:16" s="73" customFormat="1" ht="12" customHeight="1">
      <c r="G82" s="128"/>
      <c r="H82" s="128"/>
      <c r="I82" s="57"/>
      <c r="J82" s="1585"/>
      <c r="K82" s="1585"/>
      <c r="L82" s="1585"/>
      <c r="M82" s="57"/>
      <c r="N82" s="1585"/>
      <c r="O82" s="1585"/>
      <c r="P82" s="1585"/>
    </row>
    <row r="83" spans="1:16" s="147" customFormat="1" ht="18" customHeight="1">
      <c r="A83" s="17" t="s">
        <v>27</v>
      </c>
      <c r="C83" s="128"/>
      <c r="D83" s="128"/>
      <c r="E83" s="128"/>
      <c r="F83" s="128"/>
      <c r="G83" s="128"/>
      <c r="H83" s="128"/>
      <c r="I83" s="57"/>
      <c r="J83" s="57"/>
      <c r="K83" s="57"/>
      <c r="L83" s="57"/>
      <c r="M83" s="57"/>
      <c r="N83" s="1620"/>
      <c r="O83" s="1620"/>
      <c r="P83" s="1620"/>
    </row>
    <row r="84" spans="1:16" s="147" customFormat="1" ht="12.75" customHeight="1">
      <c r="A84" s="3589"/>
      <c r="B84" s="3589"/>
      <c r="C84" s="3589"/>
      <c r="D84" s="3589"/>
      <c r="E84" s="3589"/>
      <c r="F84" s="3589"/>
      <c r="G84" s="3589"/>
      <c r="H84" s="3589"/>
      <c r="I84" s="57"/>
      <c r="J84" s="57"/>
      <c r="K84" s="57"/>
      <c r="L84" s="57"/>
      <c r="M84" s="57"/>
      <c r="N84" s="1620"/>
      <c r="O84" s="1620"/>
      <c r="P84" s="1620"/>
    </row>
    <row r="85" spans="1:16" s="147" customFormat="1" ht="13.5" customHeight="1">
      <c r="A85" s="174" t="s">
        <v>1219</v>
      </c>
      <c r="C85" s="169"/>
      <c r="D85" s="169"/>
      <c r="E85" s="169"/>
      <c r="F85" s="169"/>
      <c r="G85" s="169"/>
      <c r="H85" s="169"/>
      <c r="I85" s="57"/>
      <c r="J85" s="57"/>
      <c r="K85" s="57"/>
      <c r="L85" s="57"/>
      <c r="M85" s="57"/>
      <c r="N85" s="1620"/>
      <c r="O85" s="1620"/>
      <c r="P85" s="1620"/>
    </row>
    <row r="86" spans="1:16" s="147" customFormat="1" ht="18" customHeight="1">
      <c r="A86" s="128"/>
      <c r="C86" s="128"/>
      <c r="D86" s="128"/>
      <c r="E86" s="128"/>
      <c r="F86" s="128"/>
      <c r="G86" s="128"/>
      <c r="H86" s="128"/>
      <c r="I86" s="57"/>
      <c r="J86" s="57"/>
      <c r="K86" s="57"/>
      <c r="L86" s="57"/>
      <c r="M86" s="57"/>
      <c r="N86" s="1620"/>
      <c r="O86" s="1620"/>
      <c r="P86" s="1620"/>
    </row>
    <row r="87" spans="1:16" s="73" customFormat="1" ht="18" customHeight="1">
      <c r="C87" s="159"/>
      <c r="D87" s="159"/>
      <c r="E87" s="159"/>
      <c r="F87" s="159"/>
      <c r="G87" s="23"/>
      <c r="H87" s="23"/>
      <c r="I87" s="23"/>
    </row>
    <row r="88" spans="1:16" s="73" customFormat="1" ht="18" customHeight="1">
      <c r="C88" s="159"/>
      <c r="D88" s="159"/>
      <c r="E88" s="159"/>
      <c r="F88" s="159"/>
      <c r="G88" s="23"/>
      <c r="H88" s="23"/>
      <c r="I88" s="23"/>
    </row>
    <row r="89" spans="1:16" s="73" customFormat="1" ht="18" customHeight="1">
      <c r="C89" s="159"/>
      <c r="D89" s="159"/>
      <c r="E89" s="159"/>
      <c r="F89" s="159"/>
      <c r="G89" s="23"/>
      <c r="H89" s="23"/>
      <c r="I89" s="23"/>
    </row>
    <row r="90" spans="1:16" s="73" customFormat="1" ht="18" customHeight="1">
      <c r="C90" s="159"/>
      <c r="D90" s="159"/>
      <c r="E90" s="159"/>
      <c r="F90" s="159"/>
      <c r="G90" s="23"/>
      <c r="H90" s="23"/>
      <c r="I90" s="23"/>
    </row>
    <row r="91" spans="1:16" s="73" customFormat="1" ht="18" customHeight="1">
      <c r="C91" s="159"/>
      <c r="D91" s="159"/>
      <c r="E91" s="159"/>
      <c r="F91" s="159"/>
      <c r="G91" s="23"/>
      <c r="H91" s="23"/>
      <c r="I91" s="23"/>
    </row>
    <row r="92" spans="1:16" s="73" customFormat="1" ht="18" customHeight="1">
      <c r="C92" s="159"/>
      <c r="D92" s="159"/>
      <c r="E92" s="159"/>
      <c r="F92" s="159"/>
      <c r="G92" s="23"/>
      <c r="H92" s="23"/>
      <c r="I92" s="23"/>
    </row>
    <row r="93" spans="1:16" s="73" customFormat="1" ht="18" customHeight="1">
      <c r="C93" s="159"/>
      <c r="D93" s="159"/>
      <c r="E93" s="159"/>
      <c r="F93" s="159"/>
      <c r="G93" s="23"/>
      <c r="H93" s="23"/>
      <c r="I93" s="23"/>
    </row>
    <row r="94" spans="1:16" s="73" customFormat="1" ht="18" customHeight="1">
      <c r="B94" s="226"/>
      <c r="C94" s="159"/>
      <c r="D94" s="159"/>
      <c r="E94" s="159"/>
      <c r="F94" s="159"/>
      <c r="G94" s="23"/>
      <c r="H94" s="23"/>
      <c r="I94" s="23"/>
    </row>
    <row r="95" spans="1:16" s="100" customFormat="1" ht="12" customHeight="1">
      <c r="A95" s="104"/>
      <c r="B95" s="22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1:16" s="35" customFormat="1" ht="18" customHeight="1">
      <c r="B96" s="225"/>
      <c r="C96" s="127"/>
      <c r="D96" s="127"/>
      <c r="E96" s="127"/>
      <c r="F96" s="127"/>
      <c r="G96" s="127"/>
      <c r="H96" s="127"/>
      <c r="I96" s="127"/>
      <c r="J96" s="127"/>
      <c r="K96" s="242"/>
      <c r="L96" s="242"/>
      <c r="M96" s="242"/>
      <c r="N96" s="242"/>
      <c r="O96" s="242"/>
      <c r="P96" s="242"/>
    </row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</sheetData>
  <mergeCells count="31">
    <mergeCell ref="N5:N8"/>
    <mergeCell ref="N4:P4"/>
    <mergeCell ref="A77:B77"/>
    <mergeCell ref="A19:B19"/>
    <mergeCell ref="A65:B67"/>
    <mergeCell ref="B21:E21"/>
    <mergeCell ref="C65:H65"/>
    <mergeCell ref="C66:D66"/>
    <mergeCell ref="E66:F66"/>
    <mergeCell ref="G66:H66"/>
    <mergeCell ref="G5:H5"/>
    <mergeCell ref="G6:H6"/>
    <mergeCell ref="O5:O8"/>
    <mergeCell ref="P5:P8"/>
    <mergeCell ref="A68:A69"/>
    <mergeCell ref="J7:J8"/>
    <mergeCell ref="A84:H84"/>
    <mergeCell ref="A4:B9"/>
    <mergeCell ref="C4:M4"/>
    <mergeCell ref="C5:D6"/>
    <mergeCell ref="E5:F6"/>
    <mergeCell ref="I5:J5"/>
    <mergeCell ref="K5:M5"/>
    <mergeCell ref="K6:M7"/>
    <mergeCell ref="C7:D8"/>
    <mergeCell ref="E7:F8"/>
    <mergeCell ref="G7:H8"/>
    <mergeCell ref="I7:I8"/>
    <mergeCell ref="A10:A11"/>
    <mergeCell ref="A13:A15"/>
    <mergeCell ref="A71:A73"/>
  </mergeCells>
  <conditionalFormatting sqref="G96:P96 E95:P95">
    <cfRule type="cellIs" dxfId="3" priority="7" operator="equal">
      <formula>"нет"</formula>
    </cfRule>
  </conditionalFormatting>
  <hyperlinks>
    <hyperlink ref="B1" location="Содержание!A1" display="Вернуться в содержание"/>
  </hyperlinks>
  <printOptions horizontalCentered="1" verticalCentered="1"/>
  <pageMargins left="0.23622047244094491" right="0.23622047244094491" top="0.59055118110236227" bottom="0.31496062992125984" header="0.59055118110236227" footer="0.31496062992125984"/>
  <pageSetup paperSize="9" scale="55" firstPageNumber="45" orientation="landscape" useFirstPageNumber="1" r:id="rId1"/>
  <headerFooter>
    <oddFooter>&amp;L&amp;P&amp;R&amp;24&amp;G</oddFooter>
  </headerFooter>
  <rowBreaks count="2" manualBreakCount="2">
    <brk id="21" max="19" man="1"/>
    <brk id="61" max="19" man="1"/>
  </row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39">
    <tabColor rgb="FF92D050"/>
  </sheetPr>
  <dimension ref="A1:AA53"/>
  <sheetViews>
    <sheetView view="pageBreakPreview" zoomScale="85" zoomScaleNormal="70" zoomScaleSheetLayoutView="85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52" customWidth="1"/>
    <col min="2" max="2" width="46" style="152" customWidth="1"/>
    <col min="3" max="8" width="14.140625" style="152" customWidth="1"/>
    <col min="9" max="12" width="18.5703125" style="152" customWidth="1"/>
    <col min="13" max="13" width="1.7109375" style="474" customWidth="1"/>
    <col min="14" max="14" width="12" style="152" customWidth="1"/>
    <col min="15" max="15" width="10" style="152" hidden="1" customWidth="1"/>
    <col min="16" max="16" width="14" style="152" customWidth="1"/>
    <col min="17" max="17" width="16.85546875" style="152" customWidth="1"/>
    <col min="18" max="18" width="19.28515625" style="152" customWidth="1"/>
    <col min="19" max="19" width="8.85546875" style="152"/>
    <col min="20" max="20" width="14.7109375" style="152" customWidth="1"/>
    <col min="21" max="21" width="3.28515625" style="152" customWidth="1"/>
    <col min="22" max="255" width="8.85546875" style="152"/>
    <col min="256" max="256" width="40.7109375" style="152" customWidth="1"/>
    <col min="257" max="262" width="18.7109375" style="152" customWidth="1"/>
    <col min="263" max="266" width="9.140625" style="152" customWidth="1"/>
    <col min="267" max="511" width="8.85546875" style="152"/>
    <col min="512" max="512" width="40.7109375" style="152" customWidth="1"/>
    <col min="513" max="518" width="18.7109375" style="152" customWidth="1"/>
    <col min="519" max="522" width="9.140625" style="152" customWidth="1"/>
    <col min="523" max="767" width="8.85546875" style="152"/>
    <col min="768" max="768" width="40.7109375" style="152" customWidth="1"/>
    <col min="769" max="774" width="18.7109375" style="152" customWidth="1"/>
    <col min="775" max="778" width="9.140625" style="152" customWidth="1"/>
    <col min="779" max="1023" width="8.85546875" style="152"/>
    <col min="1024" max="1024" width="40.7109375" style="152" customWidth="1"/>
    <col min="1025" max="1030" width="18.7109375" style="152" customWidth="1"/>
    <col min="1031" max="1034" width="9.140625" style="152" customWidth="1"/>
    <col min="1035" max="1279" width="8.85546875" style="152"/>
    <col min="1280" max="1280" width="40.7109375" style="152" customWidth="1"/>
    <col min="1281" max="1286" width="18.7109375" style="152" customWidth="1"/>
    <col min="1287" max="1290" width="9.140625" style="152" customWidth="1"/>
    <col min="1291" max="1535" width="8.85546875" style="152"/>
    <col min="1536" max="1536" width="40.7109375" style="152" customWidth="1"/>
    <col min="1537" max="1542" width="18.7109375" style="152" customWidth="1"/>
    <col min="1543" max="1546" width="9.140625" style="152" customWidth="1"/>
    <col min="1547" max="1791" width="8.85546875" style="152"/>
    <col min="1792" max="1792" width="40.7109375" style="152" customWidth="1"/>
    <col min="1793" max="1798" width="18.7109375" style="152" customWidth="1"/>
    <col min="1799" max="1802" width="9.140625" style="152" customWidth="1"/>
    <col min="1803" max="2047" width="8.85546875" style="152"/>
    <col min="2048" max="2048" width="40.7109375" style="152" customWidth="1"/>
    <col min="2049" max="2054" width="18.7109375" style="152" customWidth="1"/>
    <col min="2055" max="2058" width="9.140625" style="152" customWidth="1"/>
    <col min="2059" max="2303" width="8.85546875" style="152"/>
    <col min="2304" max="2304" width="40.7109375" style="152" customWidth="1"/>
    <col min="2305" max="2310" width="18.7109375" style="152" customWidth="1"/>
    <col min="2311" max="2314" width="9.140625" style="152" customWidth="1"/>
    <col min="2315" max="2559" width="8.85546875" style="152"/>
    <col min="2560" max="2560" width="40.7109375" style="152" customWidth="1"/>
    <col min="2561" max="2566" width="18.7109375" style="152" customWidth="1"/>
    <col min="2567" max="2570" width="9.140625" style="152" customWidth="1"/>
    <col min="2571" max="2815" width="8.85546875" style="152"/>
    <col min="2816" max="2816" width="40.7109375" style="152" customWidth="1"/>
    <col min="2817" max="2822" width="18.7109375" style="152" customWidth="1"/>
    <col min="2823" max="2826" width="9.140625" style="152" customWidth="1"/>
    <col min="2827" max="3071" width="8.85546875" style="152"/>
    <col min="3072" max="3072" width="40.7109375" style="152" customWidth="1"/>
    <col min="3073" max="3078" width="18.7109375" style="152" customWidth="1"/>
    <col min="3079" max="3082" width="9.140625" style="152" customWidth="1"/>
    <col min="3083" max="3327" width="8.85546875" style="152"/>
    <col min="3328" max="3328" width="40.7109375" style="152" customWidth="1"/>
    <col min="3329" max="3334" width="18.7109375" style="152" customWidth="1"/>
    <col min="3335" max="3338" width="9.140625" style="152" customWidth="1"/>
    <col min="3339" max="3583" width="8.85546875" style="152"/>
    <col min="3584" max="3584" width="40.7109375" style="152" customWidth="1"/>
    <col min="3585" max="3590" width="18.7109375" style="152" customWidth="1"/>
    <col min="3591" max="3594" width="9.140625" style="152" customWidth="1"/>
    <col min="3595" max="3839" width="8.85546875" style="152"/>
    <col min="3840" max="3840" width="40.7109375" style="152" customWidth="1"/>
    <col min="3841" max="3846" width="18.7109375" style="152" customWidth="1"/>
    <col min="3847" max="3850" width="9.140625" style="152" customWidth="1"/>
    <col min="3851" max="4095" width="8.85546875" style="152"/>
    <col min="4096" max="4096" width="40.7109375" style="152" customWidth="1"/>
    <col min="4097" max="4102" width="18.7109375" style="152" customWidth="1"/>
    <col min="4103" max="4106" width="9.140625" style="152" customWidth="1"/>
    <col min="4107" max="4351" width="8.85546875" style="152"/>
    <col min="4352" max="4352" width="40.7109375" style="152" customWidth="1"/>
    <col min="4353" max="4358" width="18.7109375" style="152" customWidth="1"/>
    <col min="4359" max="4362" width="9.140625" style="152" customWidth="1"/>
    <col min="4363" max="4607" width="8.85546875" style="152"/>
    <col min="4608" max="4608" width="40.7109375" style="152" customWidth="1"/>
    <col min="4609" max="4614" width="18.7109375" style="152" customWidth="1"/>
    <col min="4615" max="4618" width="9.140625" style="152" customWidth="1"/>
    <col min="4619" max="4863" width="8.85546875" style="152"/>
    <col min="4864" max="4864" width="40.7109375" style="152" customWidth="1"/>
    <col min="4865" max="4870" width="18.7109375" style="152" customWidth="1"/>
    <col min="4871" max="4874" width="9.140625" style="152" customWidth="1"/>
    <col min="4875" max="5119" width="8.85546875" style="152"/>
    <col min="5120" max="5120" width="40.7109375" style="152" customWidth="1"/>
    <col min="5121" max="5126" width="18.7109375" style="152" customWidth="1"/>
    <col min="5127" max="5130" width="9.140625" style="152" customWidth="1"/>
    <col min="5131" max="5375" width="8.85546875" style="152"/>
    <col min="5376" max="5376" width="40.7109375" style="152" customWidth="1"/>
    <col min="5377" max="5382" width="18.7109375" style="152" customWidth="1"/>
    <col min="5383" max="5386" width="9.140625" style="152" customWidth="1"/>
    <col min="5387" max="5631" width="8.85546875" style="152"/>
    <col min="5632" max="5632" width="40.7109375" style="152" customWidth="1"/>
    <col min="5633" max="5638" width="18.7109375" style="152" customWidth="1"/>
    <col min="5639" max="5642" width="9.140625" style="152" customWidth="1"/>
    <col min="5643" max="5887" width="8.85546875" style="152"/>
    <col min="5888" max="5888" width="40.7109375" style="152" customWidth="1"/>
    <col min="5889" max="5894" width="18.7109375" style="152" customWidth="1"/>
    <col min="5895" max="5898" width="9.140625" style="152" customWidth="1"/>
    <col min="5899" max="6143" width="8.85546875" style="152"/>
    <col min="6144" max="6144" width="40.7109375" style="152" customWidth="1"/>
    <col min="6145" max="6150" width="18.7109375" style="152" customWidth="1"/>
    <col min="6151" max="6154" width="9.140625" style="152" customWidth="1"/>
    <col min="6155" max="6399" width="8.85546875" style="152"/>
    <col min="6400" max="6400" width="40.7109375" style="152" customWidth="1"/>
    <col min="6401" max="6406" width="18.7109375" style="152" customWidth="1"/>
    <col min="6407" max="6410" width="9.140625" style="152" customWidth="1"/>
    <col min="6411" max="6655" width="8.85546875" style="152"/>
    <col min="6656" max="6656" width="40.7109375" style="152" customWidth="1"/>
    <col min="6657" max="6662" width="18.7109375" style="152" customWidth="1"/>
    <col min="6663" max="6666" width="9.140625" style="152" customWidth="1"/>
    <col min="6667" max="6911" width="8.85546875" style="152"/>
    <col min="6912" max="6912" width="40.7109375" style="152" customWidth="1"/>
    <col min="6913" max="6918" width="18.7109375" style="152" customWidth="1"/>
    <col min="6919" max="6922" width="9.140625" style="152" customWidth="1"/>
    <col min="6923" max="7167" width="8.85546875" style="152"/>
    <col min="7168" max="7168" width="40.7109375" style="152" customWidth="1"/>
    <col min="7169" max="7174" width="18.7109375" style="152" customWidth="1"/>
    <col min="7175" max="7178" width="9.140625" style="152" customWidth="1"/>
    <col min="7179" max="7423" width="8.85546875" style="152"/>
    <col min="7424" max="7424" width="40.7109375" style="152" customWidth="1"/>
    <col min="7425" max="7430" width="18.7109375" style="152" customWidth="1"/>
    <col min="7431" max="7434" width="9.140625" style="152" customWidth="1"/>
    <col min="7435" max="7679" width="8.85546875" style="152"/>
    <col min="7680" max="7680" width="40.7109375" style="152" customWidth="1"/>
    <col min="7681" max="7686" width="18.7109375" style="152" customWidth="1"/>
    <col min="7687" max="7690" width="9.140625" style="152" customWidth="1"/>
    <col min="7691" max="7935" width="8.85546875" style="152"/>
    <col min="7936" max="7936" width="40.7109375" style="152" customWidth="1"/>
    <col min="7937" max="7942" width="18.7109375" style="152" customWidth="1"/>
    <col min="7943" max="7946" width="9.140625" style="152" customWidth="1"/>
    <col min="7947" max="8191" width="8.85546875" style="152"/>
    <col min="8192" max="8192" width="40.7109375" style="152" customWidth="1"/>
    <col min="8193" max="8198" width="18.7109375" style="152" customWidth="1"/>
    <col min="8199" max="8202" width="9.140625" style="152" customWidth="1"/>
    <col min="8203" max="8447" width="8.85546875" style="152"/>
    <col min="8448" max="8448" width="40.7109375" style="152" customWidth="1"/>
    <col min="8449" max="8454" width="18.7109375" style="152" customWidth="1"/>
    <col min="8455" max="8458" width="9.140625" style="152" customWidth="1"/>
    <col min="8459" max="8703" width="8.85546875" style="152"/>
    <col min="8704" max="8704" width="40.7109375" style="152" customWidth="1"/>
    <col min="8705" max="8710" width="18.7109375" style="152" customWidth="1"/>
    <col min="8711" max="8714" width="9.140625" style="152" customWidth="1"/>
    <col min="8715" max="8959" width="8.85546875" style="152"/>
    <col min="8960" max="8960" width="40.7109375" style="152" customWidth="1"/>
    <col min="8961" max="8966" width="18.7109375" style="152" customWidth="1"/>
    <col min="8967" max="8970" width="9.140625" style="152" customWidth="1"/>
    <col min="8971" max="9215" width="8.85546875" style="152"/>
    <col min="9216" max="9216" width="40.7109375" style="152" customWidth="1"/>
    <col min="9217" max="9222" width="18.7109375" style="152" customWidth="1"/>
    <col min="9223" max="9226" width="9.140625" style="152" customWidth="1"/>
    <col min="9227" max="9471" width="8.85546875" style="152"/>
    <col min="9472" max="9472" width="40.7109375" style="152" customWidth="1"/>
    <col min="9473" max="9478" width="18.7109375" style="152" customWidth="1"/>
    <col min="9479" max="9482" width="9.140625" style="152" customWidth="1"/>
    <col min="9483" max="9727" width="8.85546875" style="152"/>
    <col min="9728" max="9728" width="40.7109375" style="152" customWidth="1"/>
    <col min="9729" max="9734" width="18.7109375" style="152" customWidth="1"/>
    <col min="9735" max="9738" width="9.140625" style="152" customWidth="1"/>
    <col min="9739" max="9983" width="8.85546875" style="152"/>
    <col min="9984" max="9984" width="40.7109375" style="152" customWidth="1"/>
    <col min="9985" max="9990" width="18.7109375" style="152" customWidth="1"/>
    <col min="9991" max="9994" width="9.140625" style="152" customWidth="1"/>
    <col min="9995" max="10239" width="8.85546875" style="152"/>
    <col min="10240" max="10240" width="40.7109375" style="152" customWidth="1"/>
    <col min="10241" max="10246" width="18.7109375" style="152" customWidth="1"/>
    <col min="10247" max="10250" width="9.140625" style="152" customWidth="1"/>
    <col min="10251" max="10495" width="8.85546875" style="152"/>
    <col min="10496" max="10496" width="40.7109375" style="152" customWidth="1"/>
    <col min="10497" max="10502" width="18.7109375" style="152" customWidth="1"/>
    <col min="10503" max="10506" width="9.140625" style="152" customWidth="1"/>
    <col min="10507" max="10751" width="8.85546875" style="152"/>
    <col min="10752" max="10752" width="40.7109375" style="152" customWidth="1"/>
    <col min="10753" max="10758" width="18.7109375" style="152" customWidth="1"/>
    <col min="10759" max="10762" width="9.140625" style="152" customWidth="1"/>
    <col min="10763" max="11007" width="8.85546875" style="152"/>
    <col min="11008" max="11008" width="40.7109375" style="152" customWidth="1"/>
    <col min="11009" max="11014" width="18.7109375" style="152" customWidth="1"/>
    <col min="11015" max="11018" width="9.140625" style="152" customWidth="1"/>
    <col min="11019" max="11263" width="8.85546875" style="152"/>
    <col min="11264" max="11264" width="40.7109375" style="152" customWidth="1"/>
    <col min="11265" max="11270" width="18.7109375" style="152" customWidth="1"/>
    <col min="11271" max="11274" width="9.140625" style="152" customWidth="1"/>
    <col min="11275" max="11519" width="8.85546875" style="152"/>
    <col min="11520" max="11520" width="40.7109375" style="152" customWidth="1"/>
    <col min="11521" max="11526" width="18.7109375" style="152" customWidth="1"/>
    <col min="11527" max="11530" width="9.140625" style="152" customWidth="1"/>
    <col min="11531" max="11775" width="8.85546875" style="152"/>
    <col min="11776" max="11776" width="40.7109375" style="152" customWidth="1"/>
    <col min="11777" max="11782" width="18.7109375" style="152" customWidth="1"/>
    <col min="11783" max="11786" width="9.140625" style="152" customWidth="1"/>
    <col min="11787" max="12031" width="8.85546875" style="152"/>
    <col min="12032" max="12032" width="40.7109375" style="152" customWidth="1"/>
    <col min="12033" max="12038" width="18.7109375" style="152" customWidth="1"/>
    <col min="12039" max="12042" width="9.140625" style="152" customWidth="1"/>
    <col min="12043" max="12287" width="8.85546875" style="152"/>
    <col min="12288" max="12288" width="40.7109375" style="152" customWidth="1"/>
    <col min="12289" max="12294" width="18.7109375" style="152" customWidth="1"/>
    <col min="12295" max="12298" width="9.140625" style="152" customWidth="1"/>
    <col min="12299" max="12543" width="8.85546875" style="152"/>
    <col min="12544" max="12544" width="40.7109375" style="152" customWidth="1"/>
    <col min="12545" max="12550" width="18.7109375" style="152" customWidth="1"/>
    <col min="12551" max="12554" width="9.140625" style="152" customWidth="1"/>
    <col min="12555" max="12799" width="8.85546875" style="152"/>
    <col min="12800" max="12800" width="40.7109375" style="152" customWidth="1"/>
    <col min="12801" max="12806" width="18.7109375" style="152" customWidth="1"/>
    <col min="12807" max="12810" width="9.140625" style="152" customWidth="1"/>
    <col min="12811" max="13055" width="8.85546875" style="152"/>
    <col min="13056" max="13056" width="40.7109375" style="152" customWidth="1"/>
    <col min="13057" max="13062" width="18.7109375" style="152" customWidth="1"/>
    <col min="13063" max="13066" width="9.140625" style="152" customWidth="1"/>
    <col min="13067" max="13311" width="8.85546875" style="152"/>
    <col min="13312" max="13312" width="40.7109375" style="152" customWidth="1"/>
    <col min="13313" max="13318" width="18.7109375" style="152" customWidth="1"/>
    <col min="13319" max="13322" width="9.140625" style="152" customWidth="1"/>
    <col min="13323" max="13567" width="8.85546875" style="152"/>
    <col min="13568" max="13568" width="40.7109375" style="152" customWidth="1"/>
    <col min="13569" max="13574" width="18.7109375" style="152" customWidth="1"/>
    <col min="13575" max="13578" width="9.140625" style="152" customWidth="1"/>
    <col min="13579" max="13823" width="8.85546875" style="152"/>
    <col min="13824" max="13824" width="40.7109375" style="152" customWidth="1"/>
    <col min="13825" max="13830" width="18.7109375" style="152" customWidth="1"/>
    <col min="13831" max="13834" width="9.140625" style="152" customWidth="1"/>
    <col min="13835" max="14079" width="8.85546875" style="152"/>
    <col min="14080" max="14080" width="40.7109375" style="152" customWidth="1"/>
    <col min="14081" max="14086" width="18.7109375" style="152" customWidth="1"/>
    <col min="14087" max="14090" width="9.140625" style="152" customWidth="1"/>
    <col min="14091" max="14335" width="8.85546875" style="152"/>
    <col min="14336" max="14336" width="40.7109375" style="152" customWidth="1"/>
    <col min="14337" max="14342" width="18.7109375" style="152" customWidth="1"/>
    <col min="14343" max="14346" width="9.140625" style="152" customWidth="1"/>
    <col min="14347" max="14591" width="8.85546875" style="152"/>
    <col min="14592" max="14592" width="40.7109375" style="152" customWidth="1"/>
    <col min="14593" max="14598" width="18.7109375" style="152" customWidth="1"/>
    <col min="14599" max="14602" width="9.140625" style="152" customWidth="1"/>
    <col min="14603" max="14847" width="8.85546875" style="152"/>
    <col min="14848" max="14848" width="40.7109375" style="152" customWidth="1"/>
    <col min="14849" max="14854" width="18.7109375" style="152" customWidth="1"/>
    <col min="14855" max="14858" width="9.140625" style="152" customWidth="1"/>
    <col min="14859" max="15103" width="8.85546875" style="152"/>
    <col min="15104" max="15104" width="40.7109375" style="152" customWidth="1"/>
    <col min="15105" max="15110" width="18.7109375" style="152" customWidth="1"/>
    <col min="15111" max="15114" width="9.140625" style="152" customWidth="1"/>
    <col min="15115" max="15359" width="8.85546875" style="152"/>
    <col min="15360" max="15360" width="40.7109375" style="152" customWidth="1"/>
    <col min="15361" max="15366" width="18.7109375" style="152" customWidth="1"/>
    <col min="15367" max="15370" width="9.140625" style="152" customWidth="1"/>
    <col min="15371" max="15615" width="8.85546875" style="152"/>
    <col min="15616" max="15616" width="40.7109375" style="152" customWidth="1"/>
    <col min="15617" max="15622" width="18.7109375" style="152" customWidth="1"/>
    <col min="15623" max="15626" width="9.140625" style="152" customWidth="1"/>
    <col min="15627" max="15871" width="8.85546875" style="152"/>
    <col min="15872" max="15872" width="40.7109375" style="152" customWidth="1"/>
    <col min="15873" max="15878" width="18.7109375" style="152" customWidth="1"/>
    <col min="15879" max="15882" width="9.140625" style="152" customWidth="1"/>
    <col min="15883" max="16127" width="8.85546875" style="152"/>
    <col min="16128" max="16128" width="40.7109375" style="152" customWidth="1"/>
    <col min="16129" max="16134" width="18.7109375" style="152" customWidth="1"/>
    <col min="16135" max="16138" width="9.140625" style="152" customWidth="1"/>
    <col min="16139" max="16384" width="8.85546875" style="152"/>
  </cols>
  <sheetData>
    <row r="1" spans="1:27" s="151" customFormat="1" ht="18" customHeight="1">
      <c r="A1" s="1047"/>
      <c r="B1" s="1034" t="s">
        <v>307</v>
      </c>
      <c r="C1" s="1029"/>
      <c r="F1" s="1029"/>
      <c r="M1" s="502"/>
      <c r="P1" s="1031"/>
    </row>
    <row r="2" spans="1:27" s="380" customFormat="1" ht="18" customHeight="1">
      <c r="A2" s="379"/>
      <c r="B2" s="490"/>
      <c r="C2" s="24"/>
      <c r="D2" s="24"/>
      <c r="E2" s="24"/>
      <c r="F2" s="24"/>
      <c r="G2" s="24"/>
      <c r="H2" s="24"/>
      <c r="I2" s="24"/>
      <c r="J2" s="24"/>
      <c r="K2" s="24"/>
      <c r="L2" s="24"/>
      <c r="M2" s="472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</row>
    <row r="3" spans="1:27" s="435" customFormat="1" ht="31.5" customHeight="1">
      <c r="A3" s="3412" t="s">
        <v>543</v>
      </c>
      <c r="B3" s="3412"/>
      <c r="C3" s="3408"/>
      <c r="D3" s="3408"/>
      <c r="E3" s="3408"/>
      <c r="F3" s="3408"/>
      <c r="G3" s="3408"/>
      <c r="H3" s="3408"/>
      <c r="I3" s="3408"/>
      <c r="J3" s="3408"/>
      <c r="K3" s="3408"/>
      <c r="L3" s="3408"/>
      <c r="M3" s="501"/>
      <c r="N3" s="434"/>
      <c r="O3" s="434"/>
      <c r="P3" s="433"/>
      <c r="Q3" s="433"/>
      <c r="R3" s="433"/>
      <c r="S3" s="433"/>
      <c r="T3" s="433"/>
    </row>
    <row r="4" spans="1:27" ht="18" customHeight="1">
      <c r="A4" s="3620" t="s">
        <v>506</v>
      </c>
      <c r="B4" s="3621"/>
      <c r="C4" s="3646" t="s">
        <v>505</v>
      </c>
      <c r="D4" s="3647"/>
      <c r="E4" s="3647"/>
      <c r="F4" s="3647"/>
      <c r="G4" s="3647"/>
      <c r="H4" s="3647"/>
      <c r="I4" s="3648"/>
      <c r="J4" s="3648"/>
      <c r="K4" s="3648"/>
      <c r="L4" s="3649"/>
      <c r="M4" s="496"/>
      <c r="N4" s="3638" t="s">
        <v>1818</v>
      </c>
      <c r="O4" s="1609"/>
      <c r="P4" s="3628" t="s">
        <v>1546</v>
      </c>
      <c r="Q4" s="3630" t="s">
        <v>1547</v>
      </c>
    </row>
    <row r="5" spans="1:27" ht="18" customHeight="1">
      <c r="A5" s="3622"/>
      <c r="B5" s="3623"/>
      <c r="C5" s="3646" t="s">
        <v>776</v>
      </c>
      <c r="D5" s="3647"/>
      <c r="E5" s="3647"/>
      <c r="F5" s="3647"/>
      <c r="G5" s="3647"/>
      <c r="H5" s="3647"/>
      <c r="I5" s="3648"/>
      <c r="J5" s="3649"/>
      <c r="K5" s="3646" t="s">
        <v>742</v>
      </c>
      <c r="L5" s="3649"/>
      <c r="M5" s="496"/>
      <c r="N5" s="3639"/>
      <c r="O5" s="1610"/>
      <c r="P5" s="3629"/>
      <c r="Q5" s="3631"/>
    </row>
    <row r="6" spans="1:27" ht="75" customHeight="1">
      <c r="A6" s="3622"/>
      <c r="B6" s="3623"/>
      <c r="C6" s="3650" t="s">
        <v>738</v>
      </c>
      <c r="D6" s="3647"/>
      <c r="E6" s="3651"/>
      <c r="F6" s="3650" t="s">
        <v>1849</v>
      </c>
      <c r="G6" s="3647"/>
      <c r="H6" s="3651"/>
      <c r="I6" s="3652" t="s">
        <v>739</v>
      </c>
      <c r="J6" s="3635" t="s">
        <v>1398</v>
      </c>
      <c r="K6" s="3635" t="s">
        <v>740</v>
      </c>
      <c r="L6" s="3635" t="s">
        <v>741</v>
      </c>
      <c r="M6" s="496"/>
      <c r="N6" s="3639"/>
      <c r="O6" s="1610"/>
      <c r="P6" s="3629"/>
      <c r="Q6" s="3632"/>
      <c r="R6" s="437"/>
      <c r="S6" s="437"/>
    </row>
    <row r="7" spans="1:27" ht="25.5">
      <c r="A7" s="3624"/>
      <c r="B7" s="3625"/>
      <c r="C7" s="777" t="s">
        <v>983</v>
      </c>
      <c r="D7" s="777" t="s">
        <v>984</v>
      </c>
      <c r="E7" s="777" t="s">
        <v>985</v>
      </c>
      <c r="F7" s="777" t="s">
        <v>983</v>
      </c>
      <c r="G7" s="777" t="s">
        <v>984</v>
      </c>
      <c r="H7" s="777" t="s">
        <v>985</v>
      </c>
      <c r="I7" s="3636"/>
      <c r="J7" s="3636"/>
      <c r="K7" s="3637"/>
      <c r="L7" s="3637"/>
      <c r="M7" s="496"/>
      <c r="N7" s="1607" t="s">
        <v>1817</v>
      </c>
      <c r="O7" s="1606"/>
      <c r="P7" s="1607" t="s">
        <v>1548</v>
      </c>
      <c r="Q7" s="1691" t="s">
        <v>1549</v>
      </c>
      <c r="R7" s="437"/>
      <c r="S7" s="437"/>
    </row>
    <row r="8" spans="1:27" s="153" customFormat="1" ht="54.95" customHeight="1">
      <c r="A8" s="1143" t="s">
        <v>28</v>
      </c>
      <c r="B8" s="1141" t="s">
        <v>207</v>
      </c>
      <c r="C8" s="778">
        <f>'Погонаж база'!DK15*(1+скидки_наценки!$B$29)*скидки_наценки!$D$21*скидки_наценки!$F$21/скидки_наценки!$B$4</f>
        <v>10650</v>
      </c>
      <c r="D8" s="778">
        <f t="shared" ref="D8:D16" si="0">C8*1.15</f>
        <v>12247.499999999998</v>
      </c>
      <c r="E8" s="778">
        <f t="shared" ref="E8:E16" si="1">C8*1.3</f>
        <v>13845</v>
      </c>
      <c r="F8" s="778">
        <f>CEILING('Погонаж база'!DN15*(1+скидки_наценки!$B$29)*скидки_наценки!$D$21*скидки_наценки!$F$21/скидки_наценки!$B$4, 50)</f>
        <v>0</v>
      </c>
      <c r="G8" s="778">
        <f>CEILING(F8*1.15, 100)</f>
        <v>0</v>
      </c>
      <c r="H8" s="778">
        <f>CEILING(F8*1.3, 100)</f>
        <v>0</v>
      </c>
      <c r="I8" s="1322">
        <f>'Погонаж база'!DL15*(1+скидки_наценки!$B$30)*скидки_наценки!$D$21*скидки_наценки!$F$21/скидки_наценки!$B$4</f>
        <v>19400</v>
      </c>
      <c r="J8" s="499">
        <f>'Погонаж база'!DM15*(1+скидки_наценки!$B$30)*скидки_наценки!$D$21*скидки_наценки!$F$21/скидки_наценки!$B$4</f>
        <v>4850</v>
      </c>
      <c r="K8" s="499">
        <f>'Погонаж база'!DO15*(1+скидки_наценки!$B$30)*скидки_наценки!$D$21*скидки_наценки!$F$21/скидки_наценки!$B$4</f>
        <v>18300</v>
      </c>
      <c r="L8" s="499">
        <f>'Погонаж база'!DP15*(1+скидки_наценки!$B$30)*скидки_наценки!$D$21*скидки_наценки!$F$21/скидки_наценки!$B$4</f>
        <v>28350</v>
      </c>
      <c r="M8" s="503"/>
      <c r="N8" s="3634">
        <f>'Погонаж база'!AU15*(1+скидки_наценки!$B$30)*скидки_наценки!$D$21*скидки_наценки!$F$21/скидки_наценки!$B$4</f>
        <v>860</v>
      </c>
      <c r="O8" s="3634">
        <f>Погонаж!T11</f>
        <v>260</v>
      </c>
      <c r="P8" s="449">
        <f>'Погонаж база'!AS15*(1+скидки_наценки!$B$30)*скидки_наценки!$D$21*скидки_наценки!$F$21/скидки_наценки!$B$4</f>
        <v>170</v>
      </c>
      <c r="Q8" s="1595">
        <f>'Погонаж база'!AW15*(1+скидки_наценки!$B$30)*скидки_наценки!$D$21*скидки_наценки!$F$21/скидки_наценки!$B$4</f>
        <v>570</v>
      </c>
      <c r="T8" s="1690"/>
    </row>
    <row r="9" spans="1:27" s="153" customFormat="1" ht="45" customHeight="1">
      <c r="A9" s="3467" t="s">
        <v>25</v>
      </c>
      <c r="B9" s="1142" t="s">
        <v>1292</v>
      </c>
      <c r="C9" s="500">
        <f>'Погонаж база'!DK16*(1+скидки_наценки!$B$29)*скидки_наценки!$D$21*скидки_наценки!$F$21/скидки_наценки!$B$4</f>
        <v>11200</v>
      </c>
      <c r="D9" s="779">
        <f t="shared" si="0"/>
        <v>12879.999999999998</v>
      </c>
      <c r="E9" s="779">
        <f t="shared" si="1"/>
        <v>14560</v>
      </c>
      <c r="F9" s="500">
        <f>CEILING('Погонаж база'!DN16*(1+скидки_наценки!$B$29)*скидки_наценки!$D$21*скидки_наценки!$F$21/скидки_наценки!$B$4, 50)</f>
        <v>0</v>
      </c>
      <c r="G9" s="779">
        <f>CEILING(F9*1.15, 100)</f>
        <v>0</v>
      </c>
      <c r="H9" s="779">
        <f>CEILING(F9*1.3, 100)</f>
        <v>0</v>
      </c>
      <c r="I9" s="1323"/>
      <c r="J9" s="500"/>
      <c r="K9" s="500"/>
      <c r="L9" s="500">
        <f>'Погонаж база'!DP16*(1+скидки_наценки!$B$29)*скидки_наценки!$D$21*скидки_наценки!$F$21/скидки_наценки!$B$4</f>
        <v>29800</v>
      </c>
      <c r="M9" s="504"/>
      <c r="N9" s="3640">
        <f>'Погонаж база'!AU16*(1+скидки_наценки!$B$30)*скидки_наценки!$D$21*скидки_наценки!$F$21/скидки_наценки!$B$4</f>
        <v>950</v>
      </c>
      <c r="O9" s="3640">
        <f>Погонаж!T12</f>
        <v>280</v>
      </c>
      <c r="P9" s="450">
        <f>'Погонаж база'!AS16*(1+скидки_наценки!$B$30)*скидки_наценки!$D$21*скидки_наценки!$F$21/скидки_наценки!$B$4</f>
        <v>170</v>
      </c>
      <c r="Q9" s="1594">
        <f>'Погонаж база'!AW16*(1+скидки_наценки!$B$30)*скидки_наценки!$D$21*скидки_наценки!$F$21/скидки_наценки!$B$4</f>
        <v>600</v>
      </c>
      <c r="T9" s="1690"/>
    </row>
    <row r="10" spans="1:27" s="153" customFormat="1" ht="54.95" customHeight="1">
      <c r="A10" s="3467"/>
      <c r="B10" s="1141" t="s">
        <v>1288</v>
      </c>
      <c r="C10" s="499">
        <f>'Погонаж база'!DK17*(1+скидки_наценки!$B$29)*скидки_наценки!$D$21*скидки_наценки!$F$21/скидки_наценки!$B$4</f>
        <v>12050</v>
      </c>
      <c r="D10" s="778">
        <f t="shared" si="0"/>
        <v>13857.499999999998</v>
      </c>
      <c r="E10" s="778">
        <f t="shared" si="1"/>
        <v>15665</v>
      </c>
      <c r="F10" s="499">
        <f>C10*1.25</f>
        <v>15062.5</v>
      </c>
      <c r="G10" s="778">
        <f>F10*1.15</f>
        <v>17321.875</v>
      </c>
      <c r="H10" s="778">
        <f>F10*1.3</f>
        <v>19581.25</v>
      </c>
      <c r="I10" s="1322">
        <f>'Погонаж база'!DL17*(1+скидки_наценки!$B$29)*скидки_наценки!$D$21*скидки_наценки!$F$21/скидки_наценки!$B$4</f>
        <v>21950</v>
      </c>
      <c r="J10" s="499">
        <f>'Погонаж база'!DM17*(1+скидки_наценки!$B$29)*скидки_наценки!$D$21*скидки_наценки!$F$21/скидки_наценки!$B$4</f>
        <v>5650</v>
      </c>
      <c r="K10" s="499">
        <f>'Погонаж база'!DO17*(1+скидки_наценки!$B$30)*скидки_наценки!$D$21*скидки_наценки!$F$21/скидки_наценки!$B$4</f>
        <v>20700</v>
      </c>
      <c r="L10" s="499">
        <f>'Погонаж база'!DP17*(1+скидки_наценки!$B$29)*скидки_наценки!$D$21*скидки_наценки!$F$21/скидки_наценки!$B$4</f>
        <v>32050</v>
      </c>
      <c r="M10" s="503"/>
      <c r="N10" s="3634">
        <f>'Погонаж база'!AU17*(1+скидки_наценки!$B$30)*скидки_наценки!$D$21*скидки_наценки!$F$21/скидки_наценки!$B$4</f>
        <v>1000</v>
      </c>
      <c r="O10" s="3634">
        <f>Погонаж!T15</f>
        <v>320</v>
      </c>
      <c r="P10" s="1374">
        <f>'Погонаж база'!AS19*(1+скидки_наценки!$B$30)*скидки_наценки!$D$21*скидки_наценки!$F$21/скидки_наценки!$B$4</f>
        <v>170</v>
      </c>
      <c r="Q10" s="1595">
        <f>'Погонаж база'!AW17*(1+скидки_наценки!$B$30)*скидки_наценки!$D$21*скидки_наценки!$F$21/скидки_наценки!$B$4</f>
        <v>650</v>
      </c>
      <c r="T10" s="1690"/>
    </row>
    <row r="11" spans="1:27" s="153" customFormat="1" ht="54.95" customHeight="1">
      <c r="A11" s="3468"/>
      <c r="B11" s="1847" t="s">
        <v>1806</v>
      </c>
      <c r="C11" s="500">
        <f>'Погонаж база'!DK18*(1+скидки_наценки!$B$29)*скидки_наценки!$D$21*скидки_наценки!$F$21/скидки_наценки!$B$4</f>
        <v>12600</v>
      </c>
      <c r="D11" s="779">
        <f t="shared" si="0"/>
        <v>14489.999999999998</v>
      </c>
      <c r="E11" s="779">
        <f t="shared" si="1"/>
        <v>16380</v>
      </c>
      <c r="F11" s="500">
        <f>C11*1.25</f>
        <v>15750</v>
      </c>
      <c r="G11" s="779">
        <f>F11*1.15</f>
        <v>18112.5</v>
      </c>
      <c r="H11" s="779">
        <f>F11*1.3</f>
        <v>20475</v>
      </c>
      <c r="I11" s="500">
        <f>'Погонаж база'!BI18*(1+скидки_наценки!$B$29)*скидки_наценки!$D$21*скидки_наценки!$F$21/скидки_наценки!$B$4</f>
        <v>0</v>
      </c>
      <c r="J11" s="779">
        <f>I11*1.15</f>
        <v>0</v>
      </c>
      <c r="K11" s="779">
        <f>CEILING(I11*1.3, 100)</f>
        <v>0</v>
      </c>
      <c r="L11" s="779">
        <f>J11*1.3</f>
        <v>0</v>
      </c>
      <c r="M11" s="503"/>
      <c r="N11" s="3640">
        <v>0</v>
      </c>
      <c r="O11" s="3640">
        <f>Погонаж!T16</f>
        <v>0</v>
      </c>
      <c r="P11" s="1844">
        <f>'Погонаж база'!AS20*(1+скидки_наценки!$B$30)*скидки_наценки!$D$21*скидки_наценки!$F$21/скидки_наценки!$B$4</f>
        <v>170</v>
      </c>
      <c r="Q11" s="1844">
        <f>'Погонаж база'!AW18*(1+скидки_наценки!$B$30)*скидки_наценки!$D$21*скидки_наценки!$F$21/скидки_наценки!$B$4</f>
        <v>700</v>
      </c>
      <c r="T11" s="1690"/>
    </row>
    <row r="12" spans="1:27" s="153" customFormat="1" ht="54.95" customHeight="1">
      <c r="A12" s="3467"/>
      <c r="B12" s="1141" t="s">
        <v>1294</v>
      </c>
      <c r="C12" s="499">
        <f>'Погонаж база'!DK19*(1+скидки_наценки!$B$29)*скидки_наценки!$D$21*скидки_наценки!$F$21/скидки_наценки!$B$4</f>
        <v>13100</v>
      </c>
      <c r="D12" s="778">
        <f t="shared" si="0"/>
        <v>15064.999999999998</v>
      </c>
      <c r="E12" s="778">
        <f t="shared" si="1"/>
        <v>17030</v>
      </c>
      <c r="F12" s="499">
        <f>C12*1.25</f>
        <v>16375</v>
      </c>
      <c r="G12" s="778">
        <f>F12*1.15</f>
        <v>18831.25</v>
      </c>
      <c r="H12" s="778">
        <f>F12*1.3</f>
        <v>21287.5</v>
      </c>
      <c r="I12" s="1322"/>
      <c r="J12" s="499"/>
      <c r="K12" s="499"/>
      <c r="L12" s="499">
        <f>'Погонаж база'!DP19*(1+скидки_наценки!$B$29)*скидки_наценки!$D$21*скидки_наценки!$F$21/скидки_наценки!$B$4</f>
        <v>34900</v>
      </c>
      <c r="M12" s="503"/>
      <c r="N12" s="3634">
        <f>'Погонаж база'!AU19*(1+скидки_наценки!$B$30)*скидки_наценки!$D$21*скидки_наценки!$F$21/скидки_наценки!$B$4</f>
        <v>1100</v>
      </c>
      <c r="O12" s="3634">
        <f>Погонаж!T16</f>
        <v>0</v>
      </c>
      <c r="P12" s="1845">
        <f>'Погонаж база'!AS21*(1+скидки_наценки!$B$30)*скидки_наценки!$D$21*скидки_наценки!$F$21/скидки_наценки!$B$4</f>
        <v>170</v>
      </c>
      <c r="Q12" s="1845">
        <f>'Погонаж база'!AW19*(1+скидки_наценки!$B$30)*скидки_наценки!$D$21*скидки_наценки!$F$21/скидки_наценки!$B$4</f>
        <v>750</v>
      </c>
      <c r="T12" s="1690"/>
    </row>
    <row r="13" spans="1:27" s="153" customFormat="1" ht="46.5" customHeight="1">
      <c r="A13" s="3405" t="s">
        <v>285</v>
      </c>
      <c r="B13" s="1142" t="s">
        <v>1237</v>
      </c>
      <c r="C13" s="2070">
        <f>((Techno_Porte!H7-Алюм.погонаж!E29)/1.6)*0.83</f>
        <v>14058.125</v>
      </c>
      <c r="D13" s="2071">
        <f t="shared" si="0"/>
        <v>16166.843749999998</v>
      </c>
      <c r="E13" s="2071">
        <f t="shared" si="1"/>
        <v>18275.5625</v>
      </c>
      <c r="F13" s="1423"/>
      <c r="G13" s="779"/>
      <c r="H13" s="779"/>
      <c r="I13" s="779"/>
      <c r="J13" s="779"/>
      <c r="K13" s="779"/>
      <c r="L13" s="779"/>
      <c r="M13" s="503"/>
      <c r="N13" s="3633"/>
      <c r="O13" s="3633"/>
      <c r="P13" s="1060"/>
      <c r="Q13" s="1593"/>
      <c r="T13" s="1690"/>
    </row>
    <row r="14" spans="1:27" s="153" customFormat="1" ht="46.5" customHeight="1">
      <c r="A14" s="3405"/>
      <c r="B14" s="1141" t="s">
        <v>1420</v>
      </c>
      <c r="C14" s="2072">
        <f>((Techno_Porte!H7+Techno_Porte!H22-Алюм.погонаж!$E$29)/1.6)*0.83</f>
        <v>16185</v>
      </c>
      <c r="D14" s="2072">
        <f t="shared" si="0"/>
        <v>18612.75</v>
      </c>
      <c r="E14" s="2072">
        <f t="shared" si="1"/>
        <v>21040.5</v>
      </c>
      <c r="F14" s="1388"/>
      <c r="G14" s="1388"/>
      <c r="H14" s="1388"/>
      <c r="I14" s="778"/>
      <c r="J14" s="778"/>
      <c r="K14" s="778"/>
      <c r="L14" s="778"/>
      <c r="M14" s="503"/>
      <c r="N14" s="3574"/>
      <c r="O14" s="3574"/>
      <c r="P14" s="1372"/>
      <c r="Q14" s="1592"/>
      <c r="T14" s="1690"/>
    </row>
    <row r="15" spans="1:27" s="153" customFormat="1" ht="46.5" customHeight="1">
      <c r="A15" s="3405"/>
      <c r="B15" s="1436" t="s">
        <v>1505</v>
      </c>
      <c r="C15" s="2070">
        <f>C13*1.2</f>
        <v>16869.75</v>
      </c>
      <c r="D15" s="2070">
        <f t="shared" si="0"/>
        <v>19400.212499999998</v>
      </c>
      <c r="E15" s="2070">
        <f t="shared" si="1"/>
        <v>21930.674999999999</v>
      </c>
      <c r="F15" s="1423"/>
      <c r="G15" s="1423"/>
      <c r="H15" s="1423"/>
      <c r="I15" s="779"/>
      <c r="J15" s="779"/>
      <c r="K15" s="779"/>
      <c r="L15" s="779"/>
      <c r="M15" s="503"/>
      <c r="N15" s="3633"/>
      <c r="O15" s="3633"/>
      <c r="P15" s="1060"/>
      <c r="Q15" s="1692"/>
      <c r="R15" s="1693"/>
      <c r="T15" s="1690"/>
    </row>
    <row r="16" spans="1:27" s="153" customFormat="1" ht="46.5" customHeight="1">
      <c r="A16" s="3405"/>
      <c r="B16" s="1882" t="s">
        <v>1506</v>
      </c>
      <c r="C16" s="2072">
        <f>C13*1.35</f>
        <v>18978.46875</v>
      </c>
      <c r="D16" s="2072">
        <f t="shared" si="0"/>
        <v>21825.239062499997</v>
      </c>
      <c r="E16" s="2072">
        <f t="shared" si="1"/>
        <v>24672.009375000001</v>
      </c>
      <c r="F16" s="1388"/>
      <c r="G16" s="1388"/>
      <c r="H16" s="1388"/>
      <c r="I16" s="778"/>
      <c r="J16" s="778"/>
      <c r="K16" s="778"/>
      <c r="L16" s="778"/>
      <c r="M16" s="503"/>
      <c r="N16" s="1843"/>
      <c r="O16" s="1843"/>
      <c r="P16" s="1843"/>
      <c r="Q16" s="1843"/>
      <c r="T16" s="1690"/>
    </row>
    <row r="17" spans="1:21" s="157" customFormat="1" ht="36" customHeight="1">
      <c r="A17" s="154"/>
      <c r="B17" s="809"/>
      <c r="C17" s="155"/>
      <c r="D17" s="155"/>
      <c r="E17" s="155"/>
      <c r="F17" s="155"/>
      <c r="G17" s="155"/>
      <c r="H17" s="155"/>
      <c r="I17" s="155"/>
      <c r="J17" s="155"/>
      <c r="K17" s="156"/>
      <c r="L17" s="156"/>
      <c r="M17" s="156"/>
      <c r="N17" s="156"/>
      <c r="O17" s="156"/>
      <c r="P17" s="128"/>
      <c r="Q17" s="168"/>
      <c r="R17" s="152"/>
      <c r="S17" s="152"/>
      <c r="T17" s="152"/>
      <c r="U17" s="128"/>
    </row>
    <row r="18" spans="1:21" s="157" customFormat="1" ht="18" customHeight="1">
      <c r="A18" s="154"/>
      <c r="B18" s="1774" t="s">
        <v>1788</v>
      </c>
      <c r="C18" s="155"/>
      <c r="D18" s="155"/>
      <c r="E18" s="155"/>
      <c r="F18" s="155"/>
      <c r="G18" s="155"/>
      <c r="H18" s="155"/>
      <c r="I18" s="155"/>
      <c r="J18" s="155"/>
      <c r="K18" s="156"/>
      <c r="L18" s="156"/>
      <c r="M18" s="156"/>
      <c r="N18" s="156"/>
      <c r="O18" s="156"/>
      <c r="P18" s="471"/>
      <c r="Q18" s="168"/>
      <c r="R18" s="152"/>
      <c r="S18" s="152"/>
      <c r="T18" s="152"/>
      <c r="U18" s="471"/>
    </row>
    <row r="19" spans="1:21" s="157" customFormat="1" ht="18" customHeight="1">
      <c r="A19" s="154"/>
      <c r="B19" s="1800" t="s">
        <v>26</v>
      </c>
      <c r="C19" s="1797" t="s">
        <v>148</v>
      </c>
      <c r="D19" s="1797" t="s">
        <v>1784</v>
      </c>
      <c r="E19" s="1798" t="s">
        <v>1787</v>
      </c>
      <c r="F19" s="3645" t="s">
        <v>27</v>
      </c>
      <c r="G19" s="3645"/>
      <c r="H19" s="3645"/>
      <c r="I19" s="155"/>
      <c r="J19" s="155"/>
      <c r="K19" s="156"/>
      <c r="L19" s="156"/>
      <c r="M19" s="156"/>
      <c r="N19" s="156"/>
      <c r="O19" s="156"/>
      <c r="P19" s="471"/>
      <c r="Q19" s="168"/>
      <c r="R19" s="152"/>
      <c r="S19" s="152"/>
      <c r="T19" s="152"/>
      <c r="U19" s="471"/>
    </row>
    <row r="20" spans="1:21" s="157" customFormat="1" ht="18" customHeight="1">
      <c r="A20" s="154"/>
      <c r="B20" s="3641" t="s">
        <v>1785</v>
      </c>
      <c r="C20" s="2980"/>
      <c r="D20" s="1791"/>
      <c r="E20" s="1803"/>
      <c r="F20" s="1804"/>
      <c r="G20" s="1805"/>
      <c r="H20" s="1806"/>
      <c r="I20" s="155"/>
      <c r="J20" s="155"/>
      <c r="K20" s="156"/>
      <c r="L20" s="156"/>
      <c r="M20" s="156"/>
      <c r="N20" s="156"/>
      <c r="O20" s="156"/>
      <c r="P20" s="471"/>
      <c r="Q20" s="168"/>
      <c r="R20" s="152"/>
      <c r="S20" s="152"/>
      <c r="T20" s="152"/>
      <c r="U20" s="471"/>
    </row>
    <row r="21" spans="1:21" s="157" customFormat="1" ht="18" customHeight="1">
      <c r="A21" s="154"/>
      <c r="B21" s="1801" t="s">
        <v>1783</v>
      </c>
      <c r="C21" s="1802" t="s">
        <v>1821</v>
      </c>
      <c r="D21" s="1799" t="s">
        <v>1786</v>
      </c>
      <c r="E21" s="1799">
        <f>CEILING(5600*(1+скидки_наценки!$B$28)*скидки_наценки!$D$19*скидки_наценки!$F$19/скидки_наценки!$B$4, 50)</f>
        <v>5600</v>
      </c>
      <c r="F21" s="3642" t="s">
        <v>1789</v>
      </c>
      <c r="G21" s="3643"/>
      <c r="H21" s="3644"/>
      <c r="I21" s="155"/>
      <c r="J21" s="155"/>
      <c r="K21" s="156"/>
      <c r="L21" s="156"/>
      <c r="M21" s="156"/>
      <c r="N21" s="156"/>
      <c r="O21" s="156"/>
      <c r="P21" s="471"/>
      <c r="Q21" s="168"/>
      <c r="R21" s="152"/>
      <c r="S21" s="152"/>
      <c r="T21" s="152"/>
      <c r="U21" s="471"/>
    </row>
    <row r="22" spans="1:21" s="157" customFormat="1" ht="18" customHeight="1">
      <c r="A22" s="154"/>
      <c r="B22" s="1795"/>
      <c r="C22" s="1795"/>
      <c r="D22" s="1795"/>
      <c r="E22" s="1795"/>
      <c r="F22" s="1763"/>
      <c r="G22" s="1796"/>
      <c r="H22" s="155"/>
      <c r="I22" s="155"/>
      <c r="J22" s="155"/>
      <c r="K22" s="156"/>
      <c r="L22" s="156"/>
      <c r="M22" s="156"/>
      <c r="N22" s="156"/>
      <c r="O22" s="156"/>
      <c r="P22" s="471"/>
      <c r="Q22" s="168"/>
      <c r="R22" s="152"/>
      <c r="S22" s="152"/>
      <c r="T22" s="152"/>
      <c r="U22" s="471"/>
    </row>
    <row r="23" spans="1:21" ht="12" customHeight="1">
      <c r="A23" s="507"/>
      <c r="B23" s="230" t="s">
        <v>99</v>
      </c>
      <c r="C23" s="507"/>
      <c r="D23" s="507"/>
      <c r="E23" s="507"/>
      <c r="F23" s="507"/>
      <c r="G23" s="507"/>
      <c r="H23" s="507"/>
      <c r="I23" s="507"/>
      <c r="J23" s="507"/>
      <c r="K23" s="507"/>
      <c r="L23" s="507"/>
      <c r="M23" s="502"/>
      <c r="N23" s="151"/>
      <c r="O23" s="151"/>
      <c r="P23" s="151"/>
    </row>
    <row r="24" spans="1:21" ht="12" customHeight="1">
      <c r="A24" s="507"/>
      <c r="B24" s="429" t="s">
        <v>743</v>
      </c>
      <c r="C24" s="507"/>
      <c r="D24" s="507"/>
      <c r="E24" s="507"/>
      <c r="F24" s="507"/>
      <c r="G24" s="507"/>
      <c r="H24" s="507"/>
      <c r="I24" s="507"/>
      <c r="J24" s="507"/>
      <c r="K24" s="507"/>
      <c r="L24" s="507"/>
      <c r="M24" s="502"/>
      <c r="N24" s="151"/>
      <c r="O24" s="151"/>
      <c r="P24" s="151"/>
    </row>
    <row r="25" spans="1:21" ht="12" customHeight="1">
      <c r="A25" s="507"/>
      <c r="B25" s="429" t="s">
        <v>737</v>
      </c>
      <c r="C25" s="507"/>
      <c r="D25" s="507"/>
      <c r="E25" s="507"/>
      <c r="F25" s="507"/>
      <c r="G25" s="507"/>
      <c r="H25" s="507"/>
      <c r="I25" s="507"/>
      <c r="J25" s="507"/>
      <c r="K25" s="507"/>
      <c r="L25" s="507"/>
      <c r="M25" s="502"/>
      <c r="N25" s="151"/>
      <c r="O25" s="151"/>
      <c r="P25" s="151"/>
    </row>
    <row r="26" spans="1:21" ht="12" customHeight="1">
      <c r="A26" s="507"/>
      <c r="B26" s="429" t="s">
        <v>542</v>
      </c>
      <c r="C26" s="507"/>
      <c r="D26" s="507"/>
      <c r="E26" s="507"/>
      <c r="F26" s="507"/>
      <c r="G26" s="507"/>
      <c r="H26" s="507"/>
      <c r="I26" s="507"/>
      <c r="J26" s="507"/>
      <c r="K26" s="507"/>
      <c r="L26" s="507"/>
      <c r="M26" s="502"/>
      <c r="N26" s="151"/>
      <c r="O26" s="151"/>
      <c r="P26" s="151"/>
    </row>
    <row r="27" spans="1:21" ht="12" customHeight="1">
      <c r="A27" s="507"/>
      <c r="B27" s="429" t="s">
        <v>633</v>
      </c>
      <c r="C27" s="507"/>
      <c r="D27" s="507"/>
      <c r="E27" s="507"/>
      <c r="F27" s="507"/>
      <c r="G27" s="507"/>
      <c r="H27" s="507"/>
      <c r="I27" s="507"/>
      <c r="J27" s="507"/>
      <c r="K27" s="507"/>
      <c r="L27" s="507"/>
      <c r="M27" s="502"/>
      <c r="N27" s="151"/>
      <c r="O27" s="151"/>
      <c r="P27" s="151"/>
    </row>
    <row r="28" spans="1:21" ht="12" customHeight="1">
      <c r="A28" s="507"/>
      <c r="B28" s="429" t="s">
        <v>1554</v>
      </c>
      <c r="C28" s="507"/>
      <c r="D28" s="507"/>
      <c r="E28" s="507"/>
      <c r="F28" s="507"/>
      <c r="G28" s="507"/>
      <c r="H28" s="507"/>
      <c r="I28" s="507"/>
      <c r="J28" s="507"/>
      <c r="K28" s="507"/>
      <c r="L28" s="507"/>
      <c r="M28" s="502"/>
      <c r="N28" s="151"/>
      <c r="O28" s="151"/>
      <c r="P28" s="151"/>
    </row>
    <row r="29" spans="1:21" ht="12" customHeight="1">
      <c r="B29" s="1838" t="s">
        <v>1822</v>
      </c>
      <c r="C29" s="429"/>
      <c r="D29" s="429"/>
      <c r="E29" s="429"/>
      <c r="F29" s="429"/>
      <c r="G29" s="429"/>
      <c r="H29" s="429"/>
      <c r="I29" s="429"/>
      <c r="J29" s="429"/>
      <c r="K29" s="429"/>
      <c r="L29" s="429"/>
      <c r="M29" s="502"/>
      <c r="N29" s="151"/>
      <c r="O29" s="151"/>
      <c r="P29" s="151"/>
    </row>
    <row r="31" spans="1:21" ht="21" customHeight="1">
      <c r="A31" s="3620" t="s">
        <v>506</v>
      </c>
      <c r="B31" s="3621"/>
      <c r="C31" s="3626" t="s">
        <v>505</v>
      </c>
      <c r="D31" s="3626"/>
      <c r="E31" s="3626"/>
      <c r="F31" s="3626" t="s">
        <v>2167</v>
      </c>
      <c r="G31" s="3626"/>
      <c r="H31" s="3626"/>
    </row>
    <row r="32" spans="1:21" ht="23.25" customHeight="1">
      <c r="A32" s="3622"/>
      <c r="B32" s="3623"/>
      <c r="C32" s="3626" t="s">
        <v>2148</v>
      </c>
      <c r="D32" s="3626"/>
      <c r="E32" s="3626"/>
      <c r="F32" s="3626"/>
      <c r="G32" s="3626"/>
      <c r="H32" s="3626"/>
    </row>
    <row r="33" spans="1:8" ht="45" customHeight="1">
      <c r="A33" s="3622"/>
      <c r="B33" s="3623"/>
      <c r="C33" s="2332" t="s">
        <v>2149</v>
      </c>
      <c r="D33" s="2332" t="s">
        <v>2150</v>
      </c>
      <c r="E33" s="2332" t="s">
        <v>2151</v>
      </c>
      <c r="F33" s="2332" t="s">
        <v>2152</v>
      </c>
      <c r="G33" s="2332" t="s">
        <v>2153</v>
      </c>
      <c r="H33" s="2332" t="s">
        <v>2154</v>
      </c>
    </row>
    <row r="34" spans="1:8">
      <c r="A34" s="3624"/>
      <c r="B34" s="3625"/>
      <c r="C34" s="2332" t="s">
        <v>2164</v>
      </c>
      <c r="D34" s="2332" t="s">
        <v>2165</v>
      </c>
      <c r="E34" s="2332" t="s">
        <v>2166</v>
      </c>
      <c r="F34" s="2333"/>
      <c r="G34" s="2333"/>
      <c r="H34" s="2333"/>
    </row>
    <row r="35" spans="1:8" ht="45.75" customHeight="1">
      <c r="A35" s="1143" t="s">
        <v>28</v>
      </c>
      <c r="B35" s="1141" t="s">
        <v>207</v>
      </c>
      <c r="C35" s="2331">
        <f>C8/4*(1+скидки_наценки!$B$29)*скидки_наценки!$D$21*скидки_наценки!$F$21/скидки_наценки!$B$4</f>
        <v>2662.5</v>
      </c>
      <c r="D35" s="2331">
        <f>C8*0.55*(1+скидки_наценки!$B$29)*скидки_наценки!$D$21*скидки_наценки!$F$21/скидки_наценки!$B$4</f>
        <v>5857.5000000000009</v>
      </c>
      <c r="E35" s="2331">
        <f>C8*0.8*(1+скидки_наценки!$B$29)*скидки_наценки!$D$21*скидки_наценки!$F$21/скидки_наценки!$B$4</f>
        <v>8520</v>
      </c>
      <c r="F35" s="3627">
        <f>810*(1+скидки_наценки!$B$29)*скидки_наценки!$D$21*скидки_наценки!$F$21/скидки_наценки!$B$4</f>
        <v>810</v>
      </c>
      <c r="G35" s="3627">
        <f>1080*(1+скидки_наценки!$B$29)*скидки_наценки!$D$21*скидки_наценки!$F$21/скидки_наценки!$B$4</f>
        <v>1080</v>
      </c>
      <c r="H35" s="3627">
        <f>750*(1+скидки_наценки!$B$29)*скидки_наценки!$D$21*скидки_наценки!$F$21/скидки_наценки!$B$4</f>
        <v>750</v>
      </c>
    </row>
    <row r="36" spans="1:8">
      <c r="A36" s="3467" t="s">
        <v>25</v>
      </c>
      <c r="B36" s="1142" t="s">
        <v>1292</v>
      </c>
      <c r="C36" s="2331">
        <f>C9/4*(1+скидки_наценки!$B$29)*скидки_наценки!$D$21*скидки_наценки!$F$21/скидки_наценки!$B$4</f>
        <v>2800</v>
      </c>
      <c r="D36" s="2331">
        <f>C9*0.55*(1+скидки_наценки!$B$29)*скидки_наценки!$D$21*скидки_наценки!$F$21/скидки_наценки!$B$4</f>
        <v>6160.0000000000009</v>
      </c>
      <c r="E36" s="2331">
        <f>C9*0.8*(1+скидки_наценки!$B$29)*скидки_наценки!$D$21*скидки_наценки!$F$21/скидки_наценки!$B$4</f>
        <v>8960</v>
      </c>
      <c r="F36" s="3627"/>
      <c r="G36" s="3627"/>
      <c r="H36" s="3627"/>
    </row>
    <row r="37" spans="1:8">
      <c r="A37" s="3467"/>
      <c r="B37" s="1141" t="s">
        <v>1288</v>
      </c>
      <c r="C37" s="2331">
        <f>C10/4*(1+скидки_наценки!$B$29)*скидки_наценки!$D$21*скидки_наценки!$F$21/скидки_наценки!$B$4</f>
        <v>3012.5</v>
      </c>
      <c r="D37" s="2331">
        <f>C10*0.55*(1+скидки_наценки!$B$29)*скидки_наценки!$D$21*скидки_наценки!$F$21/скидки_наценки!$B$4</f>
        <v>6627.5000000000009</v>
      </c>
      <c r="E37" s="2331">
        <f>C10*0.8*(1+скидки_наценки!$B$29)*скидки_наценки!$D$21*скидки_наценки!$F$21/скидки_наценки!$B$4</f>
        <v>9640</v>
      </c>
      <c r="F37" s="3627"/>
      <c r="G37" s="3627"/>
      <c r="H37" s="3627"/>
    </row>
    <row r="38" spans="1:8">
      <c r="A38" s="3468"/>
      <c r="B38" s="1847" t="s">
        <v>1806</v>
      </c>
      <c r="C38" s="2331">
        <f>C11/4*(1+скидки_наценки!$B$29)*скидки_наценки!$D$21*скидки_наценки!$F$21/скидки_наценки!$B$4</f>
        <v>3150</v>
      </c>
      <c r="D38" s="2331">
        <f>C11*0.55*(1+скидки_наценки!$B$29)*скидки_наценки!$D$21*скидки_наценки!$F$21/скидки_наценки!$B$4</f>
        <v>6930.0000000000009</v>
      </c>
      <c r="E38" s="2331">
        <f>C11*0.8*(1+скидки_наценки!$B$29)*скидки_наценки!$D$21*скидки_наценки!$F$21/скидки_наценки!$B$4</f>
        <v>10080</v>
      </c>
      <c r="F38" s="3627"/>
      <c r="G38" s="3627"/>
      <c r="H38" s="3627"/>
    </row>
    <row r="39" spans="1:8">
      <c r="A39" s="3467"/>
      <c r="B39" s="1141" t="s">
        <v>1294</v>
      </c>
      <c r="C39" s="2331">
        <f>C12/4*(1+скидки_наценки!$B$29)*скидки_наценки!$D$21*скидки_наценки!$F$21/скидки_наценки!$B$4</f>
        <v>3275</v>
      </c>
      <c r="D39" s="2331">
        <f>C12*0.55*(1+скидки_наценки!$B$29)*скидки_наценки!$D$21*скидки_наценки!$F$21/скидки_наценки!$B$4</f>
        <v>7205.0000000000009</v>
      </c>
      <c r="E39" s="2331">
        <f>C12*0.8*(1+скидки_наценки!$B$29)*скидки_наценки!$D$21*скидки_наценки!$F$21/скидки_наценки!$B$4</f>
        <v>10480</v>
      </c>
      <c r="F39" s="3627"/>
      <c r="G39" s="3627"/>
      <c r="H39" s="3627"/>
    </row>
    <row r="40" spans="1:8">
      <c r="A40" s="3405" t="s">
        <v>285</v>
      </c>
      <c r="B40" s="1142" t="s">
        <v>1237</v>
      </c>
      <c r="C40" s="2331">
        <f>C13/4*(1+скидки_наценки!$B$29)*скидки_наценки!$D$21*скидки_наценки!$F$21/скидки_наценки!$B$4</f>
        <v>3514.53125</v>
      </c>
      <c r="D40" s="2331">
        <f>C13*0.55*(1+скидки_наценки!$B$29)*скидки_наценки!$D$21*скидки_наценки!$F$21/скидки_наценки!$B$4</f>
        <v>7731.9687500000009</v>
      </c>
      <c r="E40" s="2331">
        <f>C13*0.8*(1+скидки_наценки!$B$29)*скидки_наценки!$D$21*скидки_наценки!$F$21/скидки_наценки!$B$4</f>
        <v>11246.5</v>
      </c>
      <c r="F40" s="3627"/>
      <c r="G40" s="3627"/>
      <c r="H40" s="3627"/>
    </row>
    <row r="41" spans="1:8">
      <c r="A41" s="3405"/>
      <c r="B41" s="1141" t="s">
        <v>1420</v>
      </c>
      <c r="C41" s="2331">
        <f>C14/4*(1+скидки_наценки!$B$29)*скидки_наценки!$D$21*скидки_наценки!$F$21/скидки_наценки!$B$4</f>
        <v>4046.25</v>
      </c>
      <c r="D41" s="2331">
        <f>C14*0.55*(1+скидки_наценки!$B$29)*скидки_наценки!$D$21*скидки_наценки!$F$21/скидки_наценки!$B$4</f>
        <v>8901.75</v>
      </c>
      <c r="E41" s="2331">
        <f>C14*0.8*(1+скидки_наценки!$B$29)*скидки_наценки!$D$21*скидки_наценки!$F$21/скидки_наценки!$B$4</f>
        <v>12948</v>
      </c>
      <c r="F41" s="3627"/>
      <c r="G41" s="3627"/>
      <c r="H41" s="3627"/>
    </row>
    <row r="42" spans="1:8" ht="24">
      <c r="A42" s="3405"/>
      <c r="B42" s="1436" t="s">
        <v>1505</v>
      </c>
      <c r="C42" s="2331">
        <f>C15/4*(1+скидки_наценки!$B$29)*скидки_наценки!$D$21*скидки_наценки!$F$21/скидки_наценки!$B$4</f>
        <v>4217.4375</v>
      </c>
      <c r="D42" s="2331">
        <f>C15*0.55*(1+скидки_наценки!$B$29)*скидки_наценки!$D$21*скидки_наценки!$F$21/скидки_наценки!$B$4</f>
        <v>9278.3625000000011</v>
      </c>
      <c r="E42" s="2331">
        <f>C15*0.8*(1+скидки_наценки!$B$29)*скидки_наценки!$D$21*скидки_наценки!$F$21/скидки_наценки!$B$4</f>
        <v>13495.800000000001</v>
      </c>
      <c r="F42" s="3627"/>
      <c r="G42" s="3627"/>
      <c r="H42" s="3627"/>
    </row>
    <row r="43" spans="1:8" ht="24">
      <c r="A43" s="3405"/>
      <c r="B43" s="1882" t="s">
        <v>1506</v>
      </c>
      <c r="C43" s="2331">
        <f>C16/4*(1+скидки_наценки!$B$29)*скидки_наценки!$D$21*скидки_наценки!$F$21/скидки_наценки!$B$4</f>
        <v>4744.6171875</v>
      </c>
      <c r="D43" s="2331">
        <f>C16*0.55*(1+скидки_наценки!$B$29)*скидки_наценки!$D$21*скидки_наценки!$F$21/скидки_наценки!$B$4</f>
        <v>10438.157812500001</v>
      </c>
      <c r="E43" s="2331">
        <f>C16*0.8*(1+скидки_наценки!$B$29)*скидки_наценки!$D$21*скидки_наценки!$F$21/скидки_наценки!$B$4</f>
        <v>15182.775000000001</v>
      </c>
      <c r="F43" s="3627"/>
      <c r="G43" s="3627"/>
      <c r="H43" s="3627"/>
    </row>
    <row r="44" spans="1:8" ht="15.75">
      <c r="B44" s="2330" t="s">
        <v>2155</v>
      </c>
      <c r="C44" s="507"/>
      <c r="D44" s="507"/>
      <c r="E44" s="507"/>
    </row>
    <row r="45" spans="1:8" ht="15.75">
      <c r="B45" s="230" t="s">
        <v>99</v>
      </c>
      <c r="C45" s="507"/>
      <c r="D45" s="507"/>
      <c r="E45" s="507"/>
    </row>
    <row r="46" spans="1:8" ht="15.75">
      <c r="B46" s="2330" t="s">
        <v>2156</v>
      </c>
      <c r="C46" s="507"/>
      <c r="D46" s="507"/>
      <c r="E46" s="507"/>
    </row>
    <row r="47" spans="1:8" ht="15.75">
      <c r="B47" s="2330" t="s">
        <v>2157</v>
      </c>
      <c r="C47" s="507"/>
      <c r="D47" s="507"/>
      <c r="E47" s="507"/>
    </row>
    <row r="48" spans="1:8" ht="15.75">
      <c r="B48" s="2330" t="s">
        <v>2158</v>
      </c>
      <c r="C48" s="507"/>
      <c r="D48" s="507"/>
      <c r="E48" s="507"/>
    </row>
    <row r="49" spans="2:5" ht="15.75">
      <c r="B49" s="2330" t="s">
        <v>2159</v>
      </c>
      <c r="C49" s="507"/>
      <c r="D49" s="507"/>
      <c r="E49" s="507"/>
    </row>
    <row r="50" spans="2:5" ht="15.75">
      <c r="B50" s="2330" t="s">
        <v>2160</v>
      </c>
      <c r="C50" s="507"/>
      <c r="D50" s="507"/>
      <c r="E50" s="507"/>
    </row>
    <row r="51" spans="2:5" ht="15.75">
      <c r="B51" s="2330" t="s">
        <v>2161</v>
      </c>
      <c r="C51" s="507"/>
      <c r="D51" s="507"/>
      <c r="E51" s="507"/>
    </row>
    <row r="52" spans="2:5" ht="15.75">
      <c r="B52" s="2330" t="s">
        <v>2162</v>
      </c>
      <c r="C52" s="507"/>
      <c r="D52" s="507"/>
      <c r="E52" s="507"/>
    </row>
    <row r="53" spans="2:5" ht="15.75">
      <c r="B53" s="2330" t="s">
        <v>2163</v>
      </c>
      <c r="C53" s="507"/>
      <c r="D53" s="507"/>
      <c r="E53" s="507"/>
    </row>
  </sheetData>
  <mergeCells count="36">
    <mergeCell ref="B20:C20"/>
    <mergeCell ref="F21:H21"/>
    <mergeCell ref="F19:H19"/>
    <mergeCell ref="A3:L3"/>
    <mergeCell ref="N10:O10"/>
    <mergeCell ref="C5:J5"/>
    <mergeCell ref="C4:L4"/>
    <mergeCell ref="K5:L5"/>
    <mergeCell ref="C6:E6"/>
    <mergeCell ref="N9:O9"/>
    <mergeCell ref="A4:B7"/>
    <mergeCell ref="I6:I7"/>
    <mergeCell ref="F6:H6"/>
    <mergeCell ref="Q4:Q6"/>
    <mergeCell ref="N15:O15"/>
    <mergeCell ref="N12:O12"/>
    <mergeCell ref="A9:A12"/>
    <mergeCell ref="J6:J7"/>
    <mergeCell ref="K6:K7"/>
    <mergeCell ref="L6:L7"/>
    <mergeCell ref="N13:O13"/>
    <mergeCell ref="N14:O14"/>
    <mergeCell ref="A13:A16"/>
    <mergeCell ref="N4:N6"/>
    <mergeCell ref="N8:O8"/>
    <mergeCell ref="N11:O11"/>
    <mergeCell ref="F31:H32"/>
    <mergeCell ref="F35:F43"/>
    <mergeCell ref="G35:G43"/>
    <mergeCell ref="H35:H43"/>
    <mergeCell ref="P4:P6"/>
    <mergeCell ref="A31:B34"/>
    <mergeCell ref="A36:A39"/>
    <mergeCell ref="A40:A43"/>
    <mergeCell ref="C31:E31"/>
    <mergeCell ref="C32:E32"/>
  </mergeCells>
  <conditionalFormatting sqref="G20">
    <cfRule type="cellIs" dxfId="2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5" firstPageNumber="51" orientation="landscape" useFirstPageNumber="1" r:id="rId1"/>
  <headerFooter>
    <oddFooter>&amp;L&amp;P&amp;R&amp;28&amp;G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3">
    <tabColor rgb="FF92D050"/>
  </sheetPr>
  <dimension ref="A1:W39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21" sqref="B21"/>
    </sheetView>
  </sheetViews>
  <sheetFormatPr defaultColWidth="8.85546875" defaultRowHeight="15"/>
  <cols>
    <col min="1" max="1" width="7.7109375" style="152" customWidth="1"/>
    <col min="2" max="2" width="50.7109375" style="152" customWidth="1"/>
    <col min="3" max="3" width="13" style="152" customWidth="1"/>
    <col min="4" max="4" width="15.140625" style="152" customWidth="1"/>
    <col min="5" max="5" width="11.7109375" style="152" customWidth="1"/>
    <col min="6" max="6" width="11.5703125" style="152" customWidth="1"/>
    <col min="7" max="7" width="22" style="152" customWidth="1"/>
    <col min="8" max="8" width="20.42578125" style="152" customWidth="1"/>
    <col min="9" max="9" width="22" style="152" customWidth="1"/>
    <col min="10" max="10" width="3.140625" style="152" customWidth="1"/>
    <col min="11" max="12" width="8.85546875" style="152"/>
    <col min="13" max="13" width="14.7109375" style="152" customWidth="1"/>
    <col min="14" max="14" width="3.28515625" style="152" customWidth="1"/>
    <col min="15" max="248" width="8.85546875" style="152"/>
    <col min="249" max="249" width="40.7109375" style="152" customWidth="1"/>
    <col min="250" max="255" width="18.7109375" style="152" customWidth="1"/>
    <col min="256" max="259" width="9.140625" style="152" customWidth="1"/>
    <col min="260" max="504" width="8.85546875" style="152"/>
    <col min="505" max="505" width="40.7109375" style="152" customWidth="1"/>
    <col min="506" max="511" width="18.7109375" style="152" customWidth="1"/>
    <col min="512" max="515" width="9.140625" style="152" customWidth="1"/>
    <col min="516" max="760" width="8.85546875" style="152"/>
    <col min="761" max="761" width="40.7109375" style="152" customWidth="1"/>
    <col min="762" max="767" width="18.7109375" style="152" customWidth="1"/>
    <col min="768" max="771" width="9.140625" style="152" customWidth="1"/>
    <col min="772" max="1016" width="8.85546875" style="152"/>
    <col min="1017" max="1017" width="40.7109375" style="152" customWidth="1"/>
    <col min="1018" max="1023" width="18.7109375" style="152" customWidth="1"/>
    <col min="1024" max="1027" width="9.140625" style="152" customWidth="1"/>
    <col min="1028" max="1272" width="8.85546875" style="152"/>
    <col min="1273" max="1273" width="40.7109375" style="152" customWidth="1"/>
    <col min="1274" max="1279" width="18.7109375" style="152" customWidth="1"/>
    <col min="1280" max="1283" width="9.140625" style="152" customWidth="1"/>
    <col min="1284" max="1528" width="8.85546875" style="152"/>
    <col min="1529" max="1529" width="40.7109375" style="152" customWidth="1"/>
    <col min="1530" max="1535" width="18.7109375" style="152" customWidth="1"/>
    <col min="1536" max="1539" width="9.140625" style="152" customWidth="1"/>
    <col min="1540" max="1784" width="8.85546875" style="152"/>
    <col min="1785" max="1785" width="40.7109375" style="152" customWidth="1"/>
    <col min="1786" max="1791" width="18.7109375" style="152" customWidth="1"/>
    <col min="1792" max="1795" width="9.140625" style="152" customWidth="1"/>
    <col min="1796" max="2040" width="8.85546875" style="152"/>
    <col min="2041" max="2041" width="40.7109375" style="152" customWidth="1"/>
    <col min="2042" max="2047" width="18.7109375" style="152" customWidth="1"/>
    <col min="2048" max="2051" width="9.140625" style="152" customWidth="1"/>
    <col min="2052" max="2296" width="8.85546875" style="152"/>
    <col min="2297" max="2297" width="40.7109375" style="152" customWidth="1"/>
    <col min="2298" max="2303" width="18.7109375" style="152" customWidth="1"/>
    <col min="2304" max="2307" width="9.140625" style="152" customWidth="1"/>
    <col min="2308" max="2552" width="8.85546875" style="152"/>
    <col min="2553" max="2553" width="40.7109375" style="152" customWidth="1"/>
    <col min="2554" max="2559" width="18.7109375" style="152" customWidth="1"/>
    <col min="2560" max="2563" width="9.140625" style="152" customWidth="1"/>
    <col min="2564" max="2808" width="8.85546875" style="152"/>
    <col min="2809" max="2809" width="40.7109375" style="152" customWidth="1"/>
    <col min="2810" max="2815" width="18.7109375" style="152" customWidth="1"/>
    <col min="2816" max="2819" width="9.140625" style="152" customWidth="1"/>
    <col min="2820" max="3064" width="8.85546875" style="152"/>
    <col min="3065" max="3065" width="40.7109375" style="152" customWidth="1"/>
    <col min="3066" max="3071" width="18.7109375" style="152" customWidth="1"/>
    <col min="3072" max="3075" width="9.140625" style="152" customWidth="1"/>
    <col min="3076" max="3320" width="8.85546875" style="152"/>
    <col min="3321" max="3321" width="40.7109375" style="152" customWidth="1"/>
    <col min="3322" max="3327" width="18.7109375" style="152" customWidth="1"/>
    <col min="3328" max="3331" width="9.140625" style="152" customWidth="1"/>
    <col min="3332" max="3576" width="8.85546875" style="152"/>
    <col min="3577" max="3577" width="40.7109375" style="152" customWidth="1"/>
    <col min="3578" max="3583" width="18.7109375" style="152" customWidth="1"/>
    <col min="3584" max="3587" width="9.140625" style="152" customWidth="1"/>
    <col min="3588" max="3832" width="8.85546875" style="152"/>
    <col min="3833" max="3833" width="40.7109375" style="152" customWidth="1"/>
    <col min="3834" max="3839" width="18.7109375" style="152" customWidth="1"/>
    <col min="3840" max="3843" width="9.140625" style="152" customWidth="1"/>
    <col min="3844" max="4088" width="8.85546875" style="152"/>
    <col min="4089" max="4089" width="40.7109375" style="152" customWidth="1"/>
    <col min="4090" max="4095" width="18.7109375" style="152" customWidth="1"/>
    <col min="4096" max="4099" width="9.140625" style="152" customWidth="1"/>
    <col min="4100" max="4344" width="8.85546875" style="152"/>
    <col min="4345" max="4345" width="40.7109375" style="152" customWidth="1"/>
    <col min="4346" max="4351" width="18.7109375" style="152" customWidth="1"/>
    <col min="4352" max="4355" width="9.140625" style="152" customWidth="1"/>
    <col min="4356" max="4600" width="8.85546875" style="152"/>
    <col min="4601" max="4601" width="40.7109375" style="152" customWidth="1"/>
    <col min="4602" max="4607" width="18.7109375" style="152" customWidth="1"/>
    <col min="4608" max="4611" width="9.140625" style="152" customWidth="1"/>
    <col min="4612" max="4856" width="8.85546875" style="152"/>
    <col min="4857" max="4857" width="40.7109375" style="152" customWidth="1"/>
    <col min="4858" max="4863" width="18.7109375" style="152" customWidth="1"/>
    <col min="4864" max="4867" width="9.140625" style="152" customWidth="1"/>
    <col min="4868" max="5112" width="8.85546875" style="152"/>
    <col min="5113" max="5113" width="40.7109375" style="152" customWidth="1"/>
    <col min="5114" max="5119" width="18.7109375" style="152" customWidth="1"/>
    <col min="5120" max="5123" width="9.140625" style="152" customWidth="1"/>
    <col min="5124" max="5368" width="8.85546875" style="152"/>
    <col min="5369" max="5369" width="40.7109375" style="152" customWidth="1"/>
    <col min="5370" max="5375" width="18.7109375" style="152" customWidth="1"/>
    <col min="5376" max="5379" width="9.140625" style="152" customWidth="1"/>
    <col min="5380" max="5624" width="8.85546875" style="152"/>
    <col min="5625" max="5625" width="40.7109375" style="152" customWidth="1"/>
    <col min="5626" max="5631" width="18.7109375" style="152" customWidth="1"/>
    <col min="5632" max="5635" width="9.140625" style="152" customWidth="1"/>
    <col min="5636" max="5880" width="8.85546875" style="152"/>
    <col min="5881" max="5881" width="40.7109375" style="152" customWidth="1"/>
    <col min="5882" max="5887" width="18.7109375" style="152" customWidth="1"/>
    <col min="5888" max="5891" width="9.140625" style="152" customWidth="1"/>
    <col min="5892" max="6136" width="8.85546875" style="152"/>
    <col min="6137" max="6137" width="40.7109375" style="152" customWidth="1"/>
    <col min="6138" max="6143" width="18.7109375" style="152" customWidth="1"/>
    <col min="6144" max="6147" width="9.140625" style="152" customWidth="1"/>
    <col min="6148" max="6392" width="8.85546875" style="152"/>
    <col min="6393" max="6393" width="40.7109375" style="152" customWidth="1"/>
    <col min="6394" max="6399" width="18.7109375" style="152" customWidth="1"/>
    <col min="6400" max="6403" width="9.140625" style="152" customWidth="1"/>
    <col min="6404" max="6648" width="8.85546875" style="152"/>
    <col min="6649" max="6649" width="40.7109375" style="152" customWidth="1"/>
    <col min="6650" max="6655" width="18.7109375" style="152" customWidth="1"/>
    <col min="6656" max="6659" width="9.140625" style="152" customWidth="1"/>
    <col min="6660" max="6904" width="8.85546875" style="152"/>
    <col min="6905" max="6905" width="40.7109375" style="152" customWidth="1"/>
    <col min="6906" max="6911" width="18.7109375" style="152" customWidth="1"/>
    <col min="6912" max="6915" width="9.140625" style="152" customWidth="1"/>
    <col min="6916" max="7160" width="8.85546875" style="152"/>
    <col min="7161" max="7161" width="40.7109375" style="152" customWidth="1"/>
    <col min="7162" max="7167" width="18.7109375" style="152" customWidth="1"/>
    <col min="7168" max="7171" width="9.140625" style="152" customWidth="1"/>
    <col min="7172" max="7416" width="8.85546875" style="152"/>
    <col min="7417" max="7417" width="40.7109375" style="152" customWidth="1"/>
    <col min="7418" max="7423" width="18.7109375" style="152" customWidth="1"/>
    <col min="7424" max="7427" width="9.140625" style="152" customWidth="1"/>
    <col min="7428" max="7672" width="8.85546875" style="152"/>
    <col min="7673" max="7673" width="40.7109375" style="152" customWidth="1"/>
    <col min="7674" max="7679" width="18.7109375" style="152" customWidth="1"/>
    <col min="7680" max="7683" width="9.140625" style="152" customWidth="1"/>
    <col min="7684" max="7928" width="8.85546875" style="152"/>
    <col min="7929" max="7929" width="40.7109375" style="152" customWidth="1"/>
    <col min="7930" max="7935" width="18.7109375" style="152" customWidth="1"/>
    <col min="7936" max="7939" width="9.140625" style="152" customWidth="1"/>
    <col min="7940" max="8184" width="8.85546875" style="152"/>
    <col min="8185" max="8185" width="40.7109375" style="152" customWidth="1"/>
    <col min="8186" max="8191" width="18.7109375" style="152" customWidth="1"/>
    <col min="8192" max="8195" width="9.140625" style="152" customWidth="1"/>
    <col min="8196" max="8440" width="8.85546875" style="152"/>
    <col min="8441" max="8441" width="40.7109375" style="152" customWidth="1"/>
    <col min="8442" max="8447" width="18.7109375" style="152" customWidth="1"/>
    <col min="8448" max="8451" width="9.140625" style="152" customWidth="1"/>
    <col min="8452" max="8696" width="8.85546875" style="152"/>
    <col min="8697" max="8697" width="40.7109375" style="152" customWidth="1"/>
    <col min="8698" max="8703" width="18.7109375" style="152" customWidth="1"/>
    <col min="8704" max="8707" width="9.140625" style="152" customWidth="1"/>
    <col min="8708" max="8952" width="8.85546875" style="152"/>
    <col min="8953" max="8953" width="40.7109375" style="152" customWidth="1"/>
    <col min="8954" max="8959" width="18.7109375" style="152" customWidth="1"/>
    <col min="8960" max="8963" width="9.140625" style="152" customWidth="1"/>
    <col min="8964" max="9208" width="8.85546875" style="152"/>
    <col min="9209" max="9209" width="40.7109375" style="152" customWidth="1"/>
    <col min="9210" max="9215" width="18.7109375" style="152" customWidth="1"/>
    <col min="9216" max="9219" width="9.140625" style="152" customWidth="1"/>
    <col min="9220" max="9464" width="8.85546875" style="152"/>
    <col min="9465" max="9465" width="40.7109375" style="152" customWidth="1"/>
    <col min="9466" max="9471" width="18.7109375" style="152" customWidth="1"/>
    <col min="9472" max="9475" width="9.140625" style="152" customWidth="1"/>
    <col min="9476" max="9720" width="8.85546875" style="152"/>
    <col min="9721" max="9721" width="40.7109375" style="152" customWidth="1"/>
    <col min="9722" max="9727" width="18.7109375" style="152" customWidth="1"/>
    <col min="9728" max="9731" width="9.140625" style="152" customWidth="1"/>
    <col min="9732" max="9976" width="8.85546875" style="152"/>
    <col min="9977" max="9977" width="40.7109375" style="152" customWidth="1"/>
    <col min="9978" max="9983" width="18.7109375" style="152" customWidth="1"/>
    <col min="9984" max="9987" width="9.140625" style="152" customWidth="1"/>
    <col min="9988" max="10232" width="8.85546875" style="152"/>
    <col min="10233" max="10233" width="40.7109375" style="152" customWidth="1"/>
    <col min="10234" max="10239" width="18.7109375" style="152" customWidth="1"/>
    <col min="10240" max="10243" width="9.140625" style="152" customWidth="1"/>
    <col min="10244" max="10488" width="8.85546875" style="152"/>
    <col min="10489" max="10489" width="40.7109375" style="152" customWidth="1"/>
    <col min="10490" max="10495" width="18.7109375" style="152" customWidth="1"/>
    <col min="10496" max="10499" width="9.140625" style="152" customWidth="1"/>
    <col min="10500" max="10744" width="8.85546875" style="152"/>
    <col min="10745" max="10745" width="40.7109375" style="152" customWidth="1"/>
    <col min="10746" max="10751" width="18.7109375" style="152" customWidth="1"/>
    <col min="10752" max="10755" width="9.140625" style="152" customWidth="1"/>
    <col min="10756" max="11000" width="8.85546875" style="152"/>
    <col min="11001" max="11001" width="40.7109375" style="152" customWidth="1"/>
    <col min="11002" max="11007" width="18.7109375" style="152" customWidth="1"/>
    <col min="11008" max="11011" width="9.140625" style="152" customWidth="1"/>
    <col min="11012" max="11256" width="8.85546875" style="152"/>
    <col min="11257" max="11257" width="40.7109375" style="152" customWidth="1"/>
    <col min="11258" max="11263" width="18.7109375" style="152" customWidth="1"/>
    <col min="11264" max="11267" width="9.140625" style="152" customWidth="1"/>
    <col min="11268" max="11512" width="8.85546875" style="152"/>
    <col min="11513" max="11513" width="40.7109375" style="152" customWidth="1"/>
    <col min="11514" max="11519" width="18.7109375" style="152" customWidth="1"/>
    <col min="11520" max="11523" width="9.140625" style="152" customWidth="1"/>
    <col min="11524" max="11768" width="8.85546875" style="152"/>
    <col min="11769" max="11769" width="40.7109375" style="152" customWidth="1"/>
    <col min="11770" max="11775" width="18.7109375" style="152" customWidth="1"/>
    <col min="11776" max="11779" width="9.140625" style="152" customWidth="1"/>
    <col min="11780" max="12024" width="8.85546875" style="152"/>
    <col min="12025" max="12025" width="40.7109375" style="152" customWidth="1"/>
    <col min="12026" max="12031" width="18.7109375" style="152" customWidth="1"/>
    <col min="12032" max="12035" width="9.140625" style="152" customWidth="1"/>
    <col min="12036" max="12280" width="8.85546875" style="152"/>
    <col min="12281" max="12281" width="40.7109375" style="152" customWidth="1"/>
    <col min="12282" max="12287" width="18.7109375" style="152" customWidth="1"/>
    <col min="12288" max="12291" width="9.140625" style="152" customWidth="1"/>
    <col min="12292" max="12536" width="8.85546875" style="152"/>
    <col min="12537" max="12537" width="40.7109375" style="152" customWidth="1"/>
    <col min="12538" max="12543" width="18.7109375" style="152" customWidth="1"/>
    <col min="12544" max="12547" width="9.140625" style="152" customWidth="1"/>
    <col min="12548" max="12792" width="8.85546875" style="152"/>
    <col min="12793" max="12793" width="40.7109375" style="152" customWidth="1"/>
    <col min="12794" max="12799" width="18.7109375" style="152" customWidth="1"/>
    <col min="12800" max="12803" width="9.140625" style="152" customWidth="1"/>
    <col min="12804" max="13048" width="8.85546875" style="152"/>
    <col min="13049" max="13049" width="40.7109375" style="152" customWidth="1"/>
    <col min="13050" max="13055" width="18.7109375" style="152" customWidth="1"/>
    <col min="13056" max="13059" width="9.140625" style="152" customWidth="1"/>
    <col min="13060" max="13304" width="8.85546875" style="152"/>
    <col min="13305" max="13305" width="40.7109375" style="152" customWidth="1"/>
    <col min="13306" max="13311" width="18.7109375" style="152" customWidth="1"/>
    <col min="13312" max="13315" width="9.140625" style="152" customWidth="1"/>
    <col min="13316" max="13560" width="8.85546875" style="152"/>
    <col min="13561" max="13561" width="40.7109375" style="152" customWidth="1"/>
    <col min="13562" max="13567" width="18.7109375" style="152" customWidth="1"/>
    <col min="13568" max="13571" width="9.140625" style="152" customWidth="1"/>
    <col min="13572" max="13816" width="8.85546875" style="152"/>
    <col min="13817" max="13817" width="40.7109375" style="152" customWidth="1"/>
    <col min="13818" max="13823" width="18.7109375" style="152" customWidth="1"/>
    <col min="13824" max="13827" width="9.140625" style="152" customWidth="1"/>
    <col min="13828" max="14072" width="8.85546875" style="152"/>
    <col min="14073" max="14073" width="40.7109375" style="152" customWidth="1"/>
    <col min="14074" max="14079" width="18.7109375" style="152" customWidth="1"/>
    <col min="14080" max="14083" width="9.140625" style="152" customWidth="1"/>
    <col min="14084" max="14328" width="8.85546875" style="152"/>
    <col min="14329" max="14329" width="40.7109375" style="152" customWidth="1"/>
    <col min="14330" max="14335" width="18.7109375" style="152" customWidth="1"/>
    <col min="14336" max="14339" width="9.140625" style="152" customWidth="1"/>
    <col min="14340" max="14584" width="8.85546875" style="152"/>
    <col min="14585" max="14585" width="40.7109375" style="152" customWidth="1"/>
    <col min="14586" max="14591" width="18.7109375" style="152" customWidth="1"/>
    <col min="14592" max="14595" width="9.140625" style="152" customWidth="1"/>
    <col min="14596" max="14840" width="8.85546875" style="152"/>
    <col min="14841" max="14841" width="40.7109375" style="152" customWidth="1"/>
    <col min="14842" max="14847" width="18.7109375" style="152" customWidth="1"/>
    <col min="14848" max="14851" width="9.140625" style="152" customWidth="1"/>
    <col min="14852" max="15096" width="8.85546875" style="152"/>
    <col min="15097" max="15097" width="40.7109375" style="152" customWidth="1"/>
    <col min="15098" max="15103" width="18.7109375" style="152" customWidth="1"/>
    <col min="15104" max="15107" width="9.140625" style="152" customWidth="1"/>
    <col min="15108" max="15352" width="8.85546875" style="152"/>
    <col min="15353" max="15353" width="40.7109375" style="152" customWidth="1"/>
    <col min="15354" max="15359" width="18.7109375" style="152" customWidth="1"/>
    <col min="15360" max="15363" width="9.140625" style="152" customWidth="1"/>
    <col min="15364" max="15608" width="8.85546875" style="152"/>
    <col min="15609" max="15609" width="40.7109375" style="152" customWidth="1"/>
    <col min="15610" max="15615" width="18.7109375" style="152" customWidth="1"/>
    <col min="15616" max="15619" width="9.140625" style="152" customWidth="1"/>
    <col min="15620" max="15864" width="8.85546875" style="152"/>
    <col min="15865" max="15865" width="40.7109375" style="152" customWidth="1"/>
    <col min="15866" max="15871" width="18.7109375" style="152" customWidth="1"/>
    <col min="15872" max="15875" width="9.140625" style="152" customWidth="1"/>
    <col min="15876" max="16120" width="8.85546875" style="152"/>
    <col min="16121" max="16121" width="40.7109375" style="152" customWidth="1"/>
    <col min="16122" max="16127" width="18.7109375" style="152" customWidth="1"/>
    <col min="16128" max="16131" width="9.140625" style="152" customWidth="1"/>
    <col min="16132" max="16384" width="8.85546875" style="152"/>
  </cols>
  <sheetData>
    <row r="1" spans="1:20" s="151" customFormat="1" ht="18" customHeight="1">
      <c r="A1" s="1047"/>
      <c r="B1" s="1046" t="s">
        <v>307</v>
      </c>
    </row>
    <row r="2" spans="1:20" s="471" customFormat="1" ht="18" customHeight="1">
      <c r="A2" s="1999"/>
      <c r="B2" s="508"/>
      <c r="C2" s="24"/>
      <c r="D2" s="24"/>
      <c r="E2" s="24"/>
      <c r="F2" s="381"/>
      <c r="G2" s="381"/>
      <c r="H2" s="381"/>
      <c r="I2" s="780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</row>
    <row r="3" spans="1:20" s="435" customFormat="1" ht="31.5" customHeight="1">
      <c r="A3" s="3654" t="s">
        <v>1961</v>
      </c>
      <c r="B3" s="3654"/>
      <c r="C3" s="505"/>
      <c r="D3" s="505"/>
      <c r="E3" s="505"/>
      <c r="F3" s="505"/>
      <c r="G3" s="1998"/>
      <c r="H3" s="1998"/>
      <c r="I3" s="433"/>
      <c r="J3" s="433"/>
      <c r="K3" s="433"/>
      <c r="L3" s="433"/>
      <c r="M3" s="433"/>
    </row>
    <row r="4" spans="1:20" s="157" customFormat="1" ht="18" customHeight="1">
      <c r="A4" s="154"/>
      <c r="B4" s="154"/>
      <c r="C4" s="155"/>
      <c r="D4" s="156"/>
      <c r="E4" s="156"/>
      <c r="F4" s="156"/>
      <c r="G4" s="156"/>
      <c r="H4" s="156"/>
      <c r="I4" s="471"/>
      <c r="J4" s="168"/>
      <c r="K4" s="152"/>
      <c r="L4" s="152"/>
      <c r="M4" s="152"/>
      <c r="N4" s="471"/>
    </row>
    <row r="5" spans="1:20" ht="30.75" customHeight="1">
      <c r="A5" s="3658" t="s">
        <v>26</v>
      </c>
      <c r="B5" s="3658"/>
      <c r="C5" s="3655" t="s">
        <v>100</v>
      </c>
      <c r="D5" s="3656"/>
      <c r="E5" s="3656"/>
      <c r="F5" s="3656"/>
      <c r="G5" s="3656"/>
      <c r="H5" s="3656"/>
      <c r="I5" s="3657"/>
      <c r="J5" s="471"/>
      <c r="N5" s="471"/>
    </row>
    <row r="6" spans="1:20" ht="35.25" customHeight="1">
      <c r="A6" s="3660" t="s">
        <v>508</v>
      </c>
      <c r="B6" s="3661"/>
      <c r="C6" s="3662" t="s">
        <v>1034</v>
      </c>
      <c r="D6" s="3662"/>
      <c r="E6" s="3662"/>
      <c r="F6" s="3662"/>
      <c r="G6" s="3662"/>
      <c r="H6" s="3662"/>
      <c r="I6" s="3662"/>
      <c r="J6" s="471"/>
      <c r="N6" s="471"/>
    </row>
    <row r="7" spans="1:20" ht="15" customHeight="1">
      <c r="A7" s="507"/>
      <c r="B7" s="507"/>
      <c r="C7" s="507"/>
      <c r="D7" s="507"/>
      <c r="E7" s="507"/>
      <c r="F7" s="507"/>
      <c r="G7" s="507"/>
      <c r="H7" s="507"/>
      <c r="I7" s="507"/>
    </row>
    <row r="8" spans="1:20" ht="15.75">
      <c r="A8" s="507"/>
      <c r="B8" s="230" t="s">
        <v>99</v>
      </c>
      <c r="C8" s="507"/>
      <c r="D8" s="507"/>
      <c r="E8" s="507"/>
      <c r="F8" s="507"/>
      <c r="G8" s="507"/>
      <c r="H8" s="507"/>
      <c r="I8" s="507"/>
    </row>
    <row r="9" spans="1:20" ht="12" customHeight="1">
      <c r="A9" s="507"/>
      <c r="B9" s="429" t="s">
        <v>545</v>
      </c>
      <c r="C9" s="507"/>
      <c r="D9" s="507"/>
      <c r="E9" s="507"/>
      <c r="F9" s="507"/>
      <c r="G9" s="507"/>
      <c r="H9" s="507"/>
      <c r="I9" s="507"/>
    </row>
    <row r="10" spans="1:20" ht="12" customHeight="1">
      <c r="A10" s="507"/>
      <c r="B10" s="429" t="s">
        <v>502</v>
      </c>
      <c r="C10" s="507"/>
      <c r="D10" s="507"/>
      <c r="E10" s="507"/>
      <c r="F10" s="507"/>
      <c r="G10" s="507"/>
      <c r="H10" s="507"/>
      <c r="I10" s="507"/>
    </row>
    <row r="11" spans="1:20" ht="12" customHeight="1">
      <c r="A11" s="507"/>
      <c r="B11" s="429"/>
      <c r="C11" s="507"/>
      <c r="D11" s="507"/>
      <c r="E11" s="507"/>
      <c r="F11" s="507"/>
      <c r="G11" s="507"/>
      <c r="H11" s="507"/>
      <c r="I11" s="507"/>
    </row>
    <row r="12" spans="1:20" ht="12" customHeight="1">
      <c r="A12" s="507"/>
      <c r="B12" s="429"/>
      <c r="C12" s="507"/>
      <c r="D12" s="507"/>
      <c r="E12" s="507"/>
      <c r="F12" s="507"/>
      <c r="G12" s="507"/>
      <c r="H12" s="507"/>
      <c r="I12" s="507"/>
    </row>
    <row r="13" spans="1:20" ht="12" customHeight="1">
      <c r="A13" s="507"/>
      <c r="B13" s="429"/>
      <c r="C13" s="507"/>
      <c r="D13" s="507"/>
      <c r="E13" s="507"/>
      <c r="F13" s="507"/>
      <c r="G13" s="507"/>
      <c r="H13" s="507"/>
      <c r="I13" s="507"/>
    </row>
    <row r="14" spans="1:20" ht="12" customHeight="1">
      <c r="A14" s="507"/>
      <c r="B14" s="429"/>
      <c r="C14" s="507"/>
      <c r="D14" s="507"/>
      <c r="E14" s="507"/>
      <c r="F14" s="507"/>
      <c r="G14" s="507"/>
      <c r="H14" s="507"/>
      <c r="I14" s="507"/>
    </row>
    <row r="15" spans="1:20" s="435" customFormat="1" ht="31.5" customHeight="1">
      <c r="A15" s="3654" t="s">
        <v>1962</v>
      </c>
      <c r="B15" s="3654"/>
      <c r="C15" s="505"/>
      <c r="D15" s="505"/>
      <c r="E15" s="505"/>
      <c r="F15" s="505"/>
      <c r="G15" s="2029"/>
      <c r="H15" s="2029"/>
      <c r="I15" s="433"/>
      <c r="J15" s="433"/>
      <c r="K15" s="433"/>
      <c r="L15" s="433"/>
      <c r="M15" s="433"/>
    </row>
    <row r="16" spans="1:20" ht="12" customHeight="1">
      <c r="A16" s="507"/>
      <c r="B16" s="429"/>
      <c r="C16" s="507"/>
      <c r="D16" s="507"/>
      <c r="E16" s="507"/>
      <c r="F16" s="507"/>
      <c r="G16" s="507"/>
      <c r="H16" s="507"/>
      <c r="I16" s="507"/>
    </row>
    <row r="17" spans="1:13" ht="12" customHeight="1">
      <c r="A17" s="507"/>
      <c r="B17" s="429" t="s">
        <v>1963</v>
      </c>
      <c r="C17" s="507"/>
      <c r="D17" s="507"/>
      <c r="E17" s="507"/>
      <c r="F17" s="507"/>
      <c r="G17" s="507"/>
      <c r="H17" s="507"/>
      <c r="I17" s="507"/>
    </row>
    <row r="18" spans="1:13" ht="12" customHeight="1">
      <c r="A18" s="507"/>
      <c r="B18" s="429"/>
      <c r="C18" s="507"/>
      <c r="D18" s="507"/>
      <c r="E18" s="507"/>
      <c r="F18" s="507"/>
      <c r="G18" s="507"/>
      <c r="H18" s="507"/>
      <c r="I18" s="507"/>
    </row>
    <row r="19" spans="1:13" ht="12" customHeight="1">
      <c r="B19" s="3659" t="s">
        <v>1956</v>
      </c>
      <c r="C19" s="3659" t="s">
        <v>1957</v>
      </c>
      <c r="D19" s="3659"/>
      <c r="E19" s="3659"/>
      <c r="F19" s="3659"/>
      <c r="G19" s="3659"/>
      <c r="H19" s="3659"/>
    </row>
    <row r="20" spans="1:13" ht="12" customHeight="1">
      <c r="B20" s="3659"/>
      <c r="C20" s="2064" t="s">
        <v>177</v>
      </c>
      <c r="D20" s="2064" t="s">
        <v>1209</v>
      </c>
      <c r="E20" s="2064" t="s">
        <v>983</v>
      </c>
      <c r="F20" s="2064" t="s">
        <v>1958</v>
      </c>
      <c r="G20" s="2064" t="s">
        <v>1959</v>
      </c>
      <c r="H20" s="2064" t="s">
        <v>1960</v>
      </c>
    </row>
    <row r="21" spans="1:13" ht="12" customHeight="1">
      <c r="B21" s="2065" t="s">
        <v>2050</v>
      </c>
      <c r="C21" s="2066">
        <v>0.35</v>
      </c>
      <c r="D21" s="2066">
        <v>0.4</v>
      </c>
      <c r="E21" s="2066">
        <v>0.4</v>
      </c>
      <c r="F21" s="2066">
        <v>0.55000000000000004</v>
      </c>
      <c r="G21" s="2066">
        <v>0.65</v>
      </c>
      <c r="H21" s="2066">
        <v>0.85</v>
      </c>
    </row>
    <row r="22" spans="1:13" ht="12" customHeight="1">
      <c r="B22" s="28"/>
      <c r="C22" s="151"/>
      <c r="D22" s="151"/>
      <c r="E22" s="151"/>
      <c r="F22" s="151"/>
      <c r="G22" s="151"/>
      <c r="H22" s="151"/>
      <c r="I22" s="151"/>
    </row>
    <row r="23" spans="1:13" ht="12" customHeight="1">
      <c r="B23" s="28"/>
      <c r="C23" s="151"/>
      <c r="D23" s="151"/>
      <c r="E23" s="151"/>
      <c r="F23" s="151"/>
      <c r="G23" s="151"/>
      <c r="H23" s="151"/>
      <c r="I23" s="151"/>
    </row>
    <row r="24" spans="1:13" ht="59.25" customHeight="1">
      <c r="B24" s="3653" t="s">
        <v>1819</v>
      </c>
      <c r="C24" s="3653"/>
      <c r="D24" s="3653"/>
      <c r="E24" s="3653"/>
      <c r="F24" s="3653"/>
      <c r="G24" s="3653"/>
      <c r="H24" s="3653"/>
      <c r="I24" s="151"/>
    </row>
    <row r="25" spans="1:13" ht="12" customHeight="1">
      <c r="B25" s="28"/>
      <c r="C25" s="151"/>
      <c r="D25" s="151"/>
      <c r="E25" s="151"/>
      <c r="F25" s="151"/>
      <c r="G25" s="151"/>
      <c r="H25" s="151"/>
      <c r="I25" s="151"/>
    </row>
    <row r="26" spans="1:13" ht="12" customHeight="1">
      <c r="B26" s="28"/>
      <c r="C26" s="151"/>
      <c r="D26" s="151"/>
      <c r="E26" s="151"/>
      <c r="F26" s="151"/>
      <c r="G26" s="151"/>
      <c r="H26" s="151"/>
      <c r="I26" s="151"/>
    </row>
    <row r="27" spans="1:13" ht="12" customHeight="1">
      <c r="B27" s="28"/>
      <c r="C27" s="151"/>
      <c r="D27" s="151"/>
      <c r="E27" s="151"/>
      <c r="F27" s="151"/>
      <c r="G27" s="151"/>
      <c r="H27" s="151"/>
      <c r="I27" s="151"/>
    </row>
    <row r="28" spans="1:13" ht="15.95" customHeight="1">
      <c r="B28" s="37"/>
      <c r="C28" s="151"/>
      <c r="D28" s="151"/>
      <c r="E28" s="151"/>
      <c r="F28" s="151"/>
      <c r="G28" s="151"/>
      <c r="H28" s="151"/>
      <c r="I28" s="151"/>
    </row>
    <row r="29" spans="1:13" s="100" customFormat="1" ht="15.95" customHeight="1">
      <c r="A29" s="182"/>
      <c r="B29" s="182"/>
      <c r="C29" s="224"/>
      <c r="D29" s="224"/>
      <c r="E29" s="182"/>
      <c r="F29" s="182"/>
      <c r="G29" s="182"/>
      <c r="H29" s="182"/>
      <c r="I29" s="182"/>
      <c r="J29" s="152"/>
      <c r="K29" s="152"/>
      <c r="L29" s="152"/>
      <c r="M29" s="152"/>
    </row>
    <row r="30" spans="1:13">
      <c r="A30" s="158"/>
      <c r="B30" s="158"/>
      <c r="C30" s="158"/>
      <c r="D30" s="158"/>
      <c r="E30" s="158"/>
      <c r="F30" s="158"/>
      <c r="G30" s="158"/>
      <c r="H30" s="158"/>
      <c r="I30" s="158"/>
    </row>
    <row r="31" spans="1:13">
      <c r="A31" s="158"/>
      <c r="B31" s="158"/>
      <c r="C31" s="158"/>
      <c r="D31" s="158"/>
      <c r="E31" s="158"/>
      <c r="F31" s="158"/>
      <c r="G31" s="158"/>
      <c r="H31" s="158"/>
      <c r="I31" s="158"/>
    </row>
    <row r="32" spans="1:13">
      <c r="A32" s="437"/>
      <c r="B32" s="437"/>
      <c r="C32" s="437"/>
      <c r="D32" s="437"/>
      <c r="E32" s="437"/>
      <c r="F32" s="437"/>
      <c r="G32" s="437"/>
      <c r="H32" s="437"/>
      <c r="I32" s="437"/>
    </row>
    <row r="39" spans="23:23">
      <c r="W39" s="1744"/>
    </row>
  </sheetData>
  <mergeCells count="9">
    <mergeCell ref="B24:H24"/>
    <mergeCell ref="A3:B3"/>
    <mergeCell ref="C5:I5"/>
    <mergeCell ref="A5:B5"/>
    <mergeCell ref="B19:B20"/>
    <mergeCell ref="C19:H19"/>
    <mergeCell ref="A15:B15"/>
    <mergeCell ref="A6:B6"/>
    <mergeCell ref="C6:I6"/>
  </mergeCells>
  <conditionalFormatting sqref="D29:J29">
    <cfRule type="cellIs" dxfId="1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6" firstPageNumber="52" orientation="landscape" useFirstPageNumber="1" r:id="rId1"/>
  <headerFooter>
    <oddFooter>&amp;L&amp;P&amp;R&amp;G</oddFoot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92D050"/>
  </sheetPr>
  <dimension ref="A1:T33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52" customWidth="1"/>
    <col min="2" max="2" width="50.7109375" style="152" customWidth="1"/>
    <col min="3" max="3" width="13" style="152" customWidth="1"/>
    <col min="4" max="4" width="15.140625" style="152" customWidth="1"/>
    <col min="5" max="5" width="11.7109375" style="152" customWidth="1"/>
    <col min="6" max="6" width="11.5703125" style="152" customWidth="1"/>
    <col min="7" max="7" width="22" style="152" customWidth="1"/>
    <col min="8" max="8" width="20.42578125" style="152" customWidth="1"/>
    <col min="9" max="9" width="22" style="152" customWidth="1"/>
    <col min="10" max="10" width="3.140625" style="152" customWidth="1"/>
    <col min="11" max="12" width="8.85546875" style="152"/>
    <col min="13" max="13" width="14.7109375" style="152" customWidth="1"/>
    <col min="14" max="14" width="7" style="152" bestFit="1" customWidth="1"/>
    <col min="15" max="248" width="8.85546875" style="152"/>
    <col min="249" max="249" width="40.7109375" style="152" customWidth="1"/>
    <col min="250" max="255" width="18.7109375" style="152" customWidth="1"/>
    <col min="256" max="259" width="9.140625" style="152" customWidth="1"/>
    <col min="260" max="504" width="8.85546875" style="152"/>
    <col min="505" max="505" width="40.7109375" style="152" customWidth="1"/>
    <col min="506" max="511" width="18.7109375" style="152" customWidth="1"/>
    <col min="512" max="515" width="9.140625" style="152" customWidth="1"/>
    <col min="516" max="760" width="8.85546875" style="152"/>
    <col min="761" max="761" width="40.7109375" style="152" customWidth="1"/>
    <col min="762" max="767" width="18.7109375" style="152" customWidth="1"/>
    <col min="768" max="771" width="9.140625" style="152" customWidth="1"/>
    <col min="772" max="1016" width="8.85546875" style="152"/>
    <col min="1017" max="1017" width="40.7109375" style="152" customWidth="1"/>
    <col min="1018" max="1023" width="18.7109375" style="152" customWidth="1"/>
    <col min="1024" max="1027" width="9.140625" style="152" customWidth="1"/>
    <col min="1028" max="1272" width="8.85546875" style="152"/>
    <col min="1273" max="1273" width="40.7109375" style="152" customWidth="1"/>
    <col min="1274" max="1279" width="18.7109375" style="152" customWidth="1"/>
    <col min="1280" max="1283" width="9.140625" style="152" customWidth="1"/>
    <col min="1284" max="1528" width="8.85546875" style="152"/>
    <col min="1529" max="1529" width="40.7109375" style="152" customWidth="1"/>
    <col min="1530" max="1535" width="18.7109375" style="152" customWidth="1"/>
    <col min="1536" max="1539" width="9.140625" style="152" customWidth="1"/>
    <col min="1540" max="1784" width="8.85546875" style="152"/>
    <col min="1785" max="1785" width="40.7109375" style="152" customWidth="1"/>
    <col min="1786" max="1791" width="18.7109375" style="152" customWidth="1"/>
    <col min="1792" max="1795" width="9.140625" style="152" customWidth="1"/>
    <col min="1796" max="2040" width="8.85546875" style="152"/>
    <col min="2041" max="2041" width="40.7109375" style="152" customWidth="1"/>
    <col min="2042" max="2047" width="18.7109375" style="152" customWidth="1"/>
    <col min="2048" max="2051" width="9.140625" style="152" customWidth="1"/>
    <col min="2052" max="2296" width="8.85546875" style="152"/>
    <col min="2297" max="2297" width="40.7109375" style="152" customWidth="1"/>
    <col min="2298" max="2303" width="18.7109375" style="152" customWidth="1"/>
    <col min="2304" max="2307" width="9.140625" style="152" customWidth="1"/>
    <col min="2308" max="2552" width="8.85546875" style="152"/>
    <col min="2553" max="2553" width="40.7109375" style="152" customWidth="1"/>
    <col min="2554" max="2559" width="18.7109375" style="152" customWidth="1"/>
    <col min="2560" max="2563" width="9.140625" style="152" customWidth="1"/>
    <col min="2564" max="2808" width="8.85546875" style="152"/>
    <col min="2809" max="2809" width="40.7109375" style="152" customWidth="1"/>
    <col min="2810" max="2815" width="18.7109375" style="152" customWidth="1"/>
    <col min="2816" max="2819" width="9.140625" style="152" customWidth="1"/>
    <col min="2820" max="3064" width="8.85546875" style="152"/>
    <col min="3065" max="3065" width="40.7109375" style="152" customWidth="1"/>
    <col min="3066" max="3071" width="18.7109375" style="152" customWidth="1"/>
    <col min="3072" max="3075" width="9.140625" style="152" customWidth="1"/>
    <col min="3076" max="3320" width="8.85546875" style="152"/>
    <col min="3321" max="3321" width="40.7109375" style="152" customWidth="1"/>
    <col min="3322" max="3327" width="18.7109375" style="152" customWidth="1"/>
    <col min="3328" max="3331" width="9.140625" style="152" customWidth="1"/>
    <col min="3332" max="3576" width="8.85546875" style="152"/>
    <col min="3577" max="3577" width="40.7109375" style="152" customWidth="1"/>
    <col min="3578" max="3583" width="18.7109375" style="152" customWidth="1"/>
    <col min="3584" max="3587" width="9.140625" style="152" customWidth="1"/>
    <col min="3588" max="3832" width="8.85546875" style="152"/>
    <col min="3833" max="3833" width="40.7109375" style="152" customWidth="1"/>
    <col min="3834" max="3839" width="18.7109375" style="152" customWidth="1"/>
    <col min="3840" max="3843" width="9.140625" style="152" customWidth="1"/>
    <col min="3844" max="4088" width="8.85546875" style="152"/>
    <col min="4089" max="4089" width="40.7109375" style="152" customWidth="1"/>
    <col min="4090" max="4095" width="18.7109375" style="152" customWidth="1"/>
    <col min="4096" max="4099" width="9.140625" style="152" customWidth="1"/>
    <col min="4100" max="4344" width="8.85546875" style="152"/>
    <col min="4345" max="4345" width="40.7109375" style="152" customWidth="1"/>
    <col min="4346" max="4351" width="18.7109375" style="152" customWidth="1"/>
    <col min="4352" max="4355" width="9.140625" style="152" customWidth="1"/>
    <col min="4356" max="4600" width="8.85546875" style="152"/>
    <col min="4601" max="4601" width="40.7109375" style="152" customWidth="1"/>
    <col min="4602" max="4607" width="18.7109375" style="152" customWidth="1"/>
    <col min="4608" max="4611" width="9.140625" style="152" customWidth="1"/>
    <col min="4612" max="4856" width="8.85546875" style="152"/>
    <col min="4857" max="4857" width="40.7109375" style="152" customWidth="1"/>
    <col min="4858" max="4863" width="18.7109375" style="152" customWidth="1"/>
    <col min="4864" max="4867" width="9.140625" style="152" customWidth="1"/>
    <col min="4868" max="5112" width="8.85546875" style="152"/>
    <col min="5113" max="5113" width="40.7109375" style="152" customWidth="1"/>
    <col min="5114" max="5119" width="18.7109375" style="152" customWidth="1"/>
    <col min="5120" max="5123" width="9.140625" style="152" customWidth="1"/>
    <col min="5124" max="5368" width="8.85546875" style="152"/>
    <col min="5369" max="5369" width="40.7109375" style="152" customWidth="1"/>
    <col min="5370" max="5375" width="18.7109375" style="152" customWidth="1"/>
    <col min="5376" max="5379" width="9.140625" style="152" customWidth="1"/>
    <col min="5380" max="5624" width="8.85546875" style="152"/>
    <col min="5625" max="5625" width="40.7109375" style="152" customWidth="1"/>
    <col min="5626" max="5631" width="18.7109375" style="152" customWidth="1"/>
    <col min="5632" max="5635" width="9.140625" style="152" customWidth="1"/>
    <col min="5636" max="5880" width="8.85546875" style="152"/>
    <col min="5881" max="5881" width="40.7109375" style="152" customWidth="1"/>
    <col min="5882" max="5887" width="18.7109375" style="152" customWidth="1"/>
    <col min="5888" max="5891" width="9.140625" style="152" customWidth="1"/>
    <col min="5892" max="6136" width="8.85546875" style="152"/>
    <col min="6137" max="6137" width="40.7109375" style="152" customWidth="1"/>
    <col min="6138" max="6143" width="18.7109375" style="152" customWidth="1"/>
    <col min="6144" max="6147" width="9.140625" style="152" customWidth="1"/>
    <col min="6148" max="6392" width="8.85546875" style="152"/>
    <col min="6393" max="6393" width="40.7109375" style="152" customWidth="1"/>
    <col min="6394" max="6399" width="18.7109375" style="152" customWidth="1"/>
    <col min="6400" max="6403" width="9.140625" style="152" customWidth="1"/>
    <col min="6404" max="6648" width="8.85546875" style="152"/>
    <col min="6649" max="6649" width="40.7109375" style="152" customWidth="1"/>
    <col min="6650" max="6655" width="18.7109375" style="152" customWidth="1"/>
    <col min="6656" max="6659" width="9.140625" style="152" customWidth="1"/>
    <col min="6660" max="6904" width="8.85546875" style="152"/>
    <col min="6905" max="6905" width="40.7109375" style="152" customWidth="1"/>
    <col min="6906" max="6911" width="18.7109375" style="152" customWidth="1"/>
    <col min="6912" max="6915" width="9.140625" style="152" customWidth="1"/>
    <col min="6916" max="7160" width="8.85546875" style="152"/>
    <col min="7161" max="7161" width="40.7109375" style="152" customWidth="1"/>
    <col min="7162" max="7167" width="18.7109375" style="152" customWidth="1"/>
    <col min="7168" max="7171" width="9.140625" style="152" customWidth="1"/>
    <col min="7172" max="7416" width="8.85546875" style="152"/>
    <col min="7417" max="7417" width="40.7109375" style="152" customWidth="1"/>
    <col min="7418" max="7423" width="18.7109375" style="152" customWidth="1"/>
    <col min="7424" max="7427" width="9.140625" style="152" customWidth="1"/>
    <col min="7428" max="7672" width="8.85546875" style="152"/>
    <col min="7673" max="7673" width="40.7109375" style="152" customWidth="1"/>
    <col min="7674" max="7679" width="18.7109375" style="152" customWidth="1"/>
    <col min="7680" max="7683" width="9.140625" style="152" customWidth="1"/>
    <col min="7684" max="7928" width="8.85546875" style="152"/>
    <col min="7929" max="7929" width="40.7109375" style="152" customWidth="1"/>
    <col min="7930" max="7935" width="18.7109375" style="152" customWidth="1"/>
    <col min="7936" max="7939" width="9.140625" style="152" customWidth="1"/>
    <col min="7940" max="8184" width="8.85546875" style="152"/>
    <col min="8185" max="8185" width="40.7109375" style="152" customWidth="1"/>
    <col min="8186" max="8191" width="18.7109375" style="152" customWidth="1"/>
    <col min="8192" max="8195" width="9.140625" style="152" customWidth="1"/>
    <col min="8196" max="8440" width="8.85546875" style="152"/>
    <col min="8441" max="8441" width="40.7109375" style="152" customWidth="1"/>
    <col min="8442" max="8447" width="18.7109375" style="152" customWidth="1"/>
    <col min="8448" max="8451" width="9.140625" style="152" customWidth="1"/>
    <col min="8452" max="8696" width="8.85546875" style="152"/>
    <col min="8697" max="8697" width="40.7109375" style="152" customWidth="1"/>
    <col min="8698" max="8703" width="18.7109375" style="152" customWidth="1"/>
    <col min="8704" max="8707" width="9.140625" style="152" customWidth="1"/>
    <col min="8708" max="8952" width="8.85546875" style="152"/>
    <col min="8953" max="8953" width="40.7109375" style="152" customWidth="1"/>
    <col min="8954" max="8959" width="18.7109375" style="152" customWidth="1"/>
    <col min="8960" max="8963" width="9.140625" style="152" customWidth="1"/>
    <col min="8964" max="9208" width="8.85546875" style="152"/>
    <col min="9209" max="9209" width="40.7109375" style="152" customWidth="1"/>
    <col min="9210" max="9215" width="18.7109375" style="152" customWidth="1"/>
    <col min="9216" max="9219" width="9.140625" style="152" customWidth="1"/>
    <col min="9220" max="9464" width="8.85546875" style="152"/>
    <col min="9465" max="9465" width="40.7109375" style="152" customWidth="1"/>
    <col min="9466" max="9471" width="18.7109375" style="152" customWidth="1"/>
    <col min="9472" max="9475" width="9.140625" style="152" customWidth="1"/>
    <col min="9476" max="9720" width="8.85546875" style="152"/>
    <col min="9721" max="9721" width="40.7109375" style="152" customWidth="1"/>
    <col min="9722" max="9727" width="18.7109375" style="152" customWidth="1"/>
    <col min="9728" max="9731" width="9.140625" style="152" customWidth="1"/>
    <col min="9732" max="9976" width="8.85546875" style="152"/>
    <col min="9977" max="9977" width="40.7109375" style="152" customWidth="1"/>
    <col min="9978" max="9983" width="18.7109375" style="152" customWidth="1"/>
    <col min="9984" max="9987" width="9.140625" style="152" customWidth="1"/>
    <col min="9988" max="10232" width="8.85546875" style="152"/>
    <col min="10233" max="10233" width="40.7109375" style="152" customWidth="1"/>
    <col min="10234" max="10239" width="18.7109375" style="152" customWidth="1"/>
    <col min="10240" max="10243" width="9.140625" style="152" customWidth="1"/>
    <col min="10244" max="10488" width="8.85546875" style="152"/>
    <col min="10489" max="10489" width="40.7109375" style="152" customWidth="1"/>
    <col min="10490" max="10495" width="18.7109375" style="152" customWidth="1"/>
    <col min="10496" max="10499" width="9.140625" style="152" customWidth="1"/>
    <col min="10500" max="10744" width="8.85546875" style="152"/>
    <col min="10745" max="10745" width="40.7109375" style="152" customWidth="1"/>
    <col min="10746" max="10751" width="18.7109375" style="152" customWidth="1"/>
    <col min="10752" max="10755" width="9.140625" style="152" customWidth="1"/>
    <col min="10756" max="11000" width="8.85546875" style="152"/>
    <col min="11001" max="11001" width="40.7109375" style="152" customWidth="1"/>
    <col min="11002" max="11007" width="18.7109375" style="152" customWidth="1"/>
    <col min="11008" max="11011" width="9.140625" style="152" customWidth="1"/>
    <col min="11012" max="11256" width="8.85546875" style="152"/>
    <col min="11257" max="11257" width="40.7109375" style="152" customWidth="1"/>
    <col min="11258" max="11263" width="18.7109375" style="152" customWidth="1"/>
    <col min="11264" max="11267" width="9.140625" style="152" customWidth="1"/>
    <col min="11268" max="11512" width="8.85546875" style="152"/>
    <col min="11513" max="11513" width="40.7109375" style="152" customWidth="1"/>
    <col min="11514" max="11519" width="18.7109375" style="152" customWidth="1"/>
    <col min="11520" max="11523" width="9.140625" style="152" customWidth="1"/>
    <col min="11524" max="11768" width="8.85546875" style="152"/>
    <col min="11769" max="11769" width="40.7109375" style="152" customWidth="1"/>
    <col min="11770" max="11775" width="18.7109375" style="152" customWidth="1"/>
    <col min="11776" max="11779" width="9.140625" style="152" customWidth="1"/>
    <col min="11780" max="12024" width="8.85546875" style="152"/>
    <col min="12025" max="12025" width="40.7109375" style="152" customWidth="1"/>
    <col min="12026" max="12031" width="18.7109375" style="152" customWidth="1"/>
    <col min="12032" max="12035" width="9.140625" style="152" customWidth="1"/>
    <col min="12036" max="12280" width="8.85546875" style="152"/>
    <col min="12281" max="12281" width="40.7109375" style="152" customWidth="1"/>
    <col min="12282" max="12287" width="18.7109375" style="152" customWidth="1"/>
    <col min="12288" max="12291" width="9.140625" style="152" customWidth="1"/>
    <col min="12292" max="12536" width="8.85546875" style="152"/>
    <col min="12537" max="12537" width="40.7109375" style="152" customWidth="1"/>
    <col min="12538" max="12543" width="18.7109375" style="152" customWidth="1"/>
    <col min="12544" max="12547" width="9.140625" style="152" customWidth="1"/>
    <col min="12548" max="12792" width="8.85546875" style="152"/>
    <col min="12793" max="12793" width="40.7109375" style="152" customWidth="1"/>
    <col min="12794" max="12799" width="18.7109375" style="152" customWidth="1"/>
    <col min="12800" max="12803" width="9.140625" style="152" customWidth="1"/>
    <col min="12804" max="13048" width="8.85546875" style="152"/>
    <col min="13049" max="13049" width="40.7109375" style="152" customWidth="1"/>
    <col min="13050" max="13055" width="18.7109375" style="152" customWidth="1"/>
    <col min="13056" max="13059" width="9.140625" style="152" customWidth="1"/>
    <col min="13060" max="13304" width="8.85546875" style="152"/>
    <col min="13305" max="13305" width="40.7109375" style="152" customWidth="1"/>
    <col min="13306" max="13311" width="18.7109375" style="152" customWidth="1"/>
    <col min="13312" max="13315" width="9.140625" style="152" customWidth="1"/>
    <col min="13316" max="13560" width="8.85546875" style="152"/>
    <col min="13561" max="13561" width="40.7109375" style="152" customWidth="1"/>
    <col min="13562" max="13567" width="18.7109375" style="152" customWidth="1"/>
    <col min="13568" max="13571" width="9.140625" style="152" customWidth="1"/>
    <col min="13572" max="13816" width="8.85546875" style="152"/>
    <col min="13817" max="13817" width="40.7109375" style="152" customWidth="1"/>
    <col min="13818" max="13823" width="18.7109375" style="152" customWidth="1"/>
    <col min="13824" max="13827" width="9.140625" style="152" customWidth="1"/>
    <col min="13828" max="14072" width="8.85546875" style="152"/>
    <col min="14073" max="14073" width="40.7109375" style="152" customWidth="1"/>
    <col min="14074" max="14079" width="18.7109375" style="152" customWidth="1"/>
    <col min="14080" max="14083" width="9.140625" style="152" customWidth="1"/>
    <col min="14084" max="14328" width="8.85546875" style="152"/>
    <col min="14329" max="14329" width="40.7109375" style="152" customWidth="1"/>
    <col min="14330" max="14335" width="18.7109375" style="152" customWidth="1"/>
    <col min="14336" max="14339" width="9.140625" style="152" customWidth="1"/>
    <col min="14340" max="14584" width="8.85546875" style="152"/>
    <col min="14585" max="14585" width="40.7109375" style="152" customWidth="1"/>
    <col min="14586" max="14591" width="18.7109375" style="152" customWidth="1"/>
    <col min="14592" max="14595" width="9.140625" style="152" customWidth="1"/>
    <col min="14596" max="14840" width="8.85546875" style="152"/>
    <col min="14841" max="14841" width="40.7109375" style="152" customWidth="1"/>
    <col min="14842" max="14847" width="18.7109375" style="152" customWidth="1"/>
    <col min="14848" max="14851" width="9.140625" style="152" customWidth="1"/>
    <col min="14852" max="15096" width="8.85546875" style="152"/>
    <col min="15097" max="15097" width="40.7109375" style="152" customWidth="1"/>
    <col min="15098" max="15103" width="18.7109375" style="152" customWidth="1"/>
    <col min="15104" max="15107" width="9.140625" style="152" customWidth="1"/>
    <col min="15108" max="15352" width="8.85546875" style="152"/>
    <col min="15353" max="15353" width="40.7109375" style="152" customWidth="1"/>
    <col min="15354" max="15359" width="18.7109375" style="152" customWidth="1"/>
    <col min="15360" max="15363" width="9.140625" style="152" customWidth="1"/>
    <col min="15364" max="15608" width="8.85546875" style="152"/>
    <col min="15609" max="15609" width="40.7109375" style="152" customWidth="1"/>
    <col min="15610" max="15615" width="18.7109375" style="152" customWidth="1"/>
    <col min="15616" max="15619" width="9.140625" style="152" customWidth="1"/>
    <col min="15620" max="15864" width="8.85546875" style="152"/>
    <col min="15865" max="15865" width="40.7109375" style="152" customWidth="1"/>
    <col min="15866" max="15871" width="18.7109375" style="152" customWidth="1"/>
    <col min="15872" max="15875" width="9.140625" style="152" customWidth="1"/>
    <col min="15876" max="16120" width="8.85546875" style="152"/>
    <col min="16121" max="16121" width="40.7109375" style="152" customWidth="1"/>
    <col min="16122" max="16127" width="18.7109375" style="152" customWidth="1"/>
    <col min="16128" max="16131" width="9.140625" style="152" customWidth="1"/>
    <col min="16132" max="16384" width="8.85546875" style="152"/>
  </cols>
  <sheetData>
    <row r="1" spans="1:20" s="151" customFormat="1" ht="18" customHeight="1">
      <c r="A1" s="1047"/>
      <c r="B1" s="1046" t="s">
        <v>307</v>
      </c>
    </row>
    <row r="2" spans="1:20" s="471" customFormat="1" ht="18" customHeight="1">
      <c r="A2" s="812"/>
      <c r="B2" s="508"/>
      <c r="C2" s="24"/>
      <c r="D2" s="24"/>
      <c r="E2" s="24"/>
      <c r="F2" s="381"/>
      <c r="G2" s="381"/>
      <c r="H2" s="381"/>
      <c r="I2" s="780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</row>
    <row r="3" spans="1:20" s="435" customFormat="1" ht="31.5" customHeight="1">
      <c r="A3" s="3654" t="s">
        <v>1014</v>
      </c>
      <c r="B3" s="3654"/>
      <c r="C3" s="505"/>
      <c r="D3" s="505"/>
      <c r="E3" s="505"/>
      <c r="F3" s="505"/>
      <c r="G3" s="813"/>
      <c r="H3" s="813"/>
      <c r="I3" s="433"/>
      <c r="J3" s="433"/>
      <c r="K3" s="433"/>
      <c r="L3" s="433"/>
      <c r="M3" s="433"/>
      <c r="Q3" s="818"/>
    </row>
    <row r="4" spans="1:20" ht="30.75" customHeight="1">
      <c r="A4" s="3705" t="s">
        <v>26</v>
      </c>
      <c r="B4" s="3706"/>
      <c r="C4" s="3706"/>
      <c r="D4" s="3706"/>
      <c r="E4" s="3706"/>
      <c r="F4" s="3707"/>
      <c r="G4" s="3691" t="s">
        <v>100</v>
      </c>
      <c r="H4" s="3692"/>
      <c r="I4" s="3693"/>
      <c r="J4" s="471"/>
      <c r="N4" s="471"/>
    </row>
    <row r="5" spans="1:20" ht="150" customHeight="1">
      <c r="A5" s="3703" t="s">
        <v>1015</v>
      </c>
      <c r="B5" s="3704"/>
      <c r="C5" s="3678" t="s">
        <v>1032</v>
      </c>
      <c r="D5" s="3679"/>
      <c r="E5" s="3679"/>
      <c r="F5" s="3680"/>
      <c r="G5" s="3694" t="s">
        <v>1020</v>
      </c>
      <c r="H5" s="3695"/>
      <c r="I5" s="3696"/>
      <c r="J5" s="471"/>
      <c r="N5" s="471"/>
    </row>
    <row r="6" spans="1:20" ht="75" hidden="1" customHeight="1">
      <c r="A6" s="1151"/>
      <c r="B6" s="1152"/>
      <c r="C6" s="3670" t="s">
        <v>1028</v>
      </c>
      <c r="D6" s="3671"/>
      <c r="E6" s="3671"/>
      <c r="F6" s="3672"/>
      <c r="G6" s="3702" t="s">
        <v>1038</v>
      </c>
      <c r="H6" s="3700"/>
      <c r="I6" s="3701"/>
    </row>
    <row r="7" spans="1:20" ht="75" customHeight="1">
      <c r="A7" s="3687" t="s">
        <v>1291</v>
      </c>
      <c r="B7" s="3688"/>
      <c r="C7" s="3670" t="s">
        <v>1235</v>
      </c>
      <c r="D7" s="3671"/>
      <c r="E7" s="3671"/>
      <c r="F7" s="3672"/>
      <c r="G7" s="3702" t="s">
        <v>1236</v>
      </c>
      <c r="H7" s="3700"/>
      <c r="I7" s="3701"/>
    </row>
    <row r="8" spans="1:20" ht="75" customHeight="1">
      <c r="A8" s="3687"/>
      <c r="B8" s="3688"/>
      <c r="C8" s="3670" t="s">
        <v>1029</v>
      </c>
      <c r="D8" s="3671"/>
      <c r="E8" s="3671"/>
      <c r="F8" s="3672"/>
      <c r="G8" s="3702" t="s">
        <v>1039</v>
      </c>
      <c r="H8" s="3700"/>
      <c r="I8" s="3701"/>
    </row>
    <row r="9" spans="1:20" ht="75" customHeight="1">
      <c r="A9" s="3689"/>
      <c r="B9" s="3690"/>
      <c r="C9" s="3670" t="s">
        <v>1212</v>
      </c>
      <c r="D9" s="3671"/>
      <c r="E9" s="3671"/>
      <c r="F9" s="3672"/>
      <c r="G9" s="3702" t="s">
        <v>1213</v>
      </c>
      <c r="H9" s="3700"/>
      <c r="I9" s="3701"/>
    </row>
    <row r="10" spans="1:20" ht="50.1" customHeight="1">
      <c r="A10" s="3681" t="s">
        <v>1016</v>
      </c>
      <c r="B10" s="3682"/>
      <c r="C10" s="3678" t="s">
        <v>1019</v>
      </c>
      <c r="D10" s="3679"/>
      <c r="E10" s="3679"/>
      <c r="F10" s="3680"/>
      <c r="G10" s="3697" t="s">
        <v>1021</v>
      </c>
      <c r="H10" s="3695"/>
      <c r="I10" s="3696"/>
    </row>
    <row r="11" spans="1:20" ht="50.1" customHeight="1">
      <c r="A11" s="3683"/>
      <c r="B11" s="3684"/>
      <c r="C11" s="3678" t="s">
        <v>1017</v>
      </c>
      <c r="D11" s="3679"/>
      <c r="E11" s="3679"/>
      <c r="F11" s="3680"/>
      <c r="G11" s="3697" t="s">
        <v>1024</v>
      </c>
      <c r="H11" s="3695"/>
      <c r="I11" s="3696"/>
    </row>
    <row r="12" spans="1:20" ht="50.1" customHeight="1">
      <c r="A12" s="3685"/>
      <c r="B12" s="3686"/>
      <c r="C12" s="3678" t="s">
        <v>1018</v>
      </c>
      <c r="D12" s="3679"/>
      <c r="E12" s="3679"/>
      <c r="F12" s="3680"/>
      <c r="G12" s="3697" t="s">
        <v>1025</v>
      </c>
      <c r="H12" s="3695"/>
      <c r="I12" s="3696"/>
    </row>
    <row r="13" spans="1:20" ht="50.1" customHeight="1">
      <c r="A13" s="3673" t="s">
        <v>1033</v>
      </c>
      <c r="B13" s="3674"/>
      <c r="C13" s="3675" t="s">
        <v>1031</v>
      </c>
      <c r="D13" s="3676"/>
      <c r="E13" s="3676"/>
      <c r="F13" s="3677"/>
      <c r="G13" s="3699" t="s">
        <v>1030</v>
      </c>
      <c r="H13" s="3700"/>
      <c r="I13" s="3701"/>
      <c r="J13" s="471"/>
      <c r="N13" s="471"/>
    </row>
    <row r="14" spans="1:20" ht="95.1" customHeight="1">
      <c r="A14" s="3663" t="s">
        <v>1023</v>
      </c>
      <c r="B14" s="3664"/>
      <c r="C14" s="3667" t="s">
        <v>1026</v>
      </c>
      <c r="D14" s="3668"/>
      <c r="E14" s="3668"/>
      <c r="F14" s="3669"/>
      <c r="G14" s="3698" t="s">
        <v>1041</v>
      </c>
      <c r="H14" s="3668"/>
      <c r="I14" s="3669"/>
    </row>
    <row r="15" spans="1:20" ht="95.1" customHeight="1">
      <c r="A15" s="3665"/>
      <c r="B15" s="3666"/>
      <c r="C15" s="3667" t="s">
        <v>1027</v>
      </c>
      <c r="D15" s="3668"/>
      <c r="E15" s="3668"/>
      <c r="F15" s="3669"/>
      <c r="G15" s="3698" t="s">
        <v>1040</v>
      </c>
      <c r="H15" s="3668"/>
      <c r="I15" s="3669"/>
    </row>
    <row r="16" spans="1:20" ht="15" customHeight="1">
      <c r="A16" s="507"/>
      <c r="B16" s="507"/>
      <c r="C16" s="507"/>
      <c r="D16" s="507"/>
      <c r="E16" s="507"/>
      <c r="F16" s="507"/>
      <c r="G16" s="507"/>
      <c r="H16" s="507"/>
      <c r="I16" s="507"/>
    </row>
    <row r="17" spans="1:13" ht="15.75">
      <c r="A17" s="507"/>
      <c r="B17" s="230" t="s">
        <v>99</v>
      </c>
      <c r="C17" s="507"/>
      <c r="D17" s="507"/>
      <c r="E17" s="507"/>
      <c r="F17" s="507"/>
      <c r="G17" s="507"/>
      <c r="H17" s="507"/>
      <c r="I17" s="507"/>
    </row>
    <row r="18" spans="1:13" ht="15.75">
      <c r="A18" s="507"/>
      <c r="B18" s="429" t="s">
        <v>1022</v>
      </c>
      <c r="C18" s="507"/>
      <c r="D18" s="507"/>
      <c r="E18" s="507"/>
      <c r="F18" s="507"/>
      <c r="G18" s="507"/>
      <c r="H18" s="507"/>
      <c r="I18" s="507"/>
    </row>
    <row r="19" spans="1:13" ht="15.75">
      <c r="A19" s="507"/>
      <c r="B19" s="429" t="s">
        <v>1035</v>
      </c>
      <c r="C19" s="507"/>
      <c r="D19" s="507"/>
      <c r="E19" s="507"/>
      <c r="F19" s="507"/>
      <c r="G19" s="507"/>
      <c r="H19" s="507"/>
      <c r="I19" s="507"/>
    </row>
    <row r="20" spans="1:13" ht="15.75">
      <c r="A20" s="507"/>
      <c r="B20" s="429" t="s">
        <v>1036</v>
      </c>
      <c r="C20" s="507"/>
      <c r="D20" s="507"/>
      <c r="E20" s="507"/>
      <c r="F20" s="507"/>
      <c r="G20" s="507"/>
      <c r="H20" s="507"/>
      <c r="I20" s="507"/>
    </row>
    <row r="21" spans="1:13" ht="15.75">
      <c r="B21" s="429" t="s">
        <v>1037</v>
      </c>
      <c r="C21" s="151"/>
      <c r="D21" s="151"/>
      <c r="E21" s="151"/>
      <c r="F21" s="151"/>
      <c r="G21" s="151"/>
      <c r="H21" s="151"/>
      <c r="I21" s="151"/>
    </row>
    <row r="22" spans="1:13" ht="12" customHeight="1">
      <c r="B22" s="28"/>
      <c r="C22" s="151"/>
      <c r="D22" s="151"/>
      <c r="E22" s="151"/>
      <c r="F22" s="151"/>
      <c r="G22" s="151"/>
      <c r="H22" s="151"/>
      <c r="I22" s="151"/>
    </row>
    <row r="23" spans="1:13" ht="12" customHeight="1">
      <c r="B23" s="28"/>
      <c r="C23" s="151"/>
      <c r="D23" s="151"/>
      <c r="E23" s="151"/>
      <c r="F23" s="151"/>
      <c r="G23" s="151"/>
      <c r="H23" s="151"/>
      <c r="I23" s="151"/>
    </row>
    <row r="24" spans="1:13" ht="12" customHeight="1">
      <c r="B24" s="28"/>
      <c r="C24" s="151"/>
      <c r="D24" s="151"/>
      <c r="E24" s="151"/>
      <c r="F24" s="151"/>
      <c r="G24" s="151"/>
      <c r="H24" s="151"/>
      <c r="I24" s="151"/>
    </row>
    <row r="25" spans="1:13" ht="12" customHeight="1">
      <c r="B25" s="28"/>
      <c r="C25" s="151"/>
      <c r="D25" s="151"/>
      <c r="E25" s="151"/>
      <c r="F25" s="151"/>
      <c r="G25" s="151"/>
      <c r="H25" s="151"/>
      <c r="I25" s="151"/>
    </row>
    <row r="26" spans="1:13" ht="12" customHeight="1">
      <c r="B26" s="28"/>
      <c r="C26" s="151"/>
      <c r="D26" s="151"/>
      <c r="E26" s="151"/>
      <c r="F26" s="151"/>
      <c r="G26" s="151"/>
      <c r="H26" s="151"/>
      <c r="I26" s="151"/>
    </row>
    <row r="27" spans="1:13" ht="12" customHeight="1">
      <c r="B27" s="28"/>
      <c r="C27" s="151"/>
      <c r="D27" s="151"/>
      <c r="E27" s="151"/>
      <c r="F27" s="151"/>
      <c r="G27" s="151"/>
      <c r="H27" s="151"/>
      <c r="I27" s="151"/>
    </row>
    <row r="28" spans="1:13" ht="12" customHeight="1">
      <c r="B28" s="28"/>
      <c r="C28" s="151"/>
      <c r="D28" s="151"/>
      <c r="E28" s="151"/>
      <c r="F28" s="151"/>
      <c r="G28" s="151"/>
      <c r="H28" s="151"/>
      <c r="I28" s="151"/>
    </row>
    <row r="29" spans="1:13" ht="15.95" customHeight="1">
      <c r="B29" s="37"/>
      <c r="C29" s="151"/>
      <c r="D29" s="151"/>
      <c r="E29" s="151"/>
      <c r="F29" s="151"/>
      <c r="G29" s="151"/>
      <c r="H29" s="151"/>
      <c r="I29" s="151"/>
    </row>
    <row r="30" spans="1:13" s="100" customFormat="1" ht="15.95" customHeight="1">
      <c r="A30" s="182"/>
      <c r="B30" s="182"/>
      <c r="C30" s="224"/>
      <c r="D30" s="224"/>
      <c r="E30" s="182"/>
      <c r="F30" s="182"/>
      <c r="G30" s="182"/>
      <c r="H30" s="182"/>
      <c r="I30" s="182"/>
      <c r="J30" s="152"/>
      <c r="K30" s="152"/>
      <c r="L30" s="152"/>
      <c r="M30" s="152"/>
    </row>
    <row r="31" spans="1:13">
      <c r="A31" s="158"/>
      <c r="B31" s="158"/>
      <c r="C31" s="158"/>
      <c r="D31" s="158"/>
      <c r="E31" s="158"/>
      <c r="F31" s="158"/>
      <c r="G31" s="158"/>
      <c r="H31" s="158"/>
      <c r="I31" s="158"/>
    </row>
    <row r="32" spans="1:13">
      <c r="A32" s="158"/>
      <c r="B32" s="158"/>
      <c r="C32" s="158"/>
      <c r="D32" s="158"/>
      <c r="E32" s="158"/>
      <c r="F32" s="158"/>
      <c r="G32" s="158"/>
      <c r="H32" s="158"/>
      <c r="I32" s="158"/>
    </row>
    <row r="33" spans="1:9">
      <c r="A33" s="437"/>
      <c r="B33" s="437"/>
      <c r="C33" s="437"/>
      <c r="D33" s="437"/>
      <c r="E33" s="437"/>
      <c r="F33" s="437"/>
      <c r="G33" s="437"/>
      <c r="H33" s="437"/>
      <c r="I33" s="437"/>
    </row>
  </sheetData>
  <mergeCells count="30">
    <mergeCell ref="C5:F5"/>
    <mergeCell ref="A3:B3"/>
    <mergeCell ref="A5:B5"/>
    <mergeCell ref="A4:F4"/>
    <mergeCell ref="C10:F10"/>
    <mergeCell ref="G4:I4"/>
    <mergeCell ref="G5:I5"/>
    <mergeCell ref="G10:I10"/>
    <mergeCell ref="G14:I14"/>
    <mergeCell ref="G15:I15"/>
    <mergeCell ref="G13:I13"/>
    <mergeCell ref="G12:I12"/>
    <mergeCell ref="G11:I11"/>
    <mergeCell ref="G6:I6"/>
    <mergeCell ref="G8:I8"/>
    <mergeCell ref="G9:I9"/>
    <mergeCell ref="G7:I7"/>
    <mergeCell ref="A14:B15"/>
    <mergeCell ref="C14:F14"/>
    <mergeCell ref="C15:F15"/>
    <mergeCell ref="C6:F6"/>
    <mergeCell ref="C8:F8"/>
    <mergeCell ref="A13:B13"/>
    <mergeCell ref="C13:F13"/>
    <mergeCell ref="C12:F12"/>
    <mergeCell ref="C11:F11"/>
    <mergeCell ref="A10:B12"/>
    <mergeCell ref="C9:F9"/>
    <mergeCell ref="C7:F7"/>
    <mergeCell ref="A7:B9"/>
  </mergeCells>
  <conditionalFormatting sqref="D30:J30">
    <cfRule type="cellIs" dxfId="0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55" firstPageNumber="53" orientation="landscape" useFirstPageNumber="1" r:id="rId1"/>
  <headerFooter>
    <oddFooter>&amp;L&amp;P&amp;R&amp;G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P299"/>
  <sheetViews>
    <sheetView view="pageBreakPreview" zoomScale="70" zoomScaleNormal="85" zoomScaleSheetLayoutView="70" zoomScalePageLayoutView="70" workbookViewId="0">
      <pane ySplit="4" topLeftCell="A56" activePane="bottomLeft" state="frozen"/>
      <selection pane="bottomLeft" activeCell="B1" sqref="B1"/>
    </sheetView>
  </sheetViews>
  <sheetFormatPr defaultColWidth="9.140625" defaultRowHeight="12.75"/>
  <cols>
    <col min="1" max="1" width="3.7109375" style="73" customWidth="1"/>
    <col min="2" max="2" width="25.85546875" style="73" customWidth="1"/>
    <col min="3" max="3" width="27.7109375" style="73" customWidth="1"/>
    <col min="4" max="4" width="24.42578125" style="73" customWidth="1"/>
    <col min="5" max="5" width="3.7109375" style="73" customWidth="1"/>
    <col min="6" max="6" width="34.7109375" style="73" customWidth="1"/>
    <col min="7" max="7" width="31.85546875" style="73" customWidth="1"/>
    <col min="8" max="8" width="24.28515625" style="73" customWidth="1"/>
    <col min="9" max="9" width="21.7109375" style="73" customWidth="1"/>
    <col min="10" max="10" width="34.7109375" style="73" customWidth="1"/>
    <col min="11" max="11" width="14.28515625" style="73" customWidth="1"/>
    <col min="12" max="16384" width="9.140625" style="73"/>
  </cols>
  <sheetData>
    <row r="1" spans="2:16" s="1035" customFormat="1" ht="18" customHeight="1">
      <c r="B1" s="1034" t="s">
        <v>307</v>
      </c>
      <c r="C1" s="1036"/>
      <c r="D1" s="1036"/>
      <c r="E1" s="1036"/>
      <c r="F1" s="1036"/>
      <c r="G1" s="1036"/>
      <c r="H1" s="1036"/>
      <c r="J1" s="1036"/>
    </row>
    <row r="2" spans="2:16" s="85" customFormat="1" ht="15" customHeight="1">
      <c r="B2" s="229" t="s">
        <v>101</v>
      </c>
      <c r="C2" s="96"/>
      <c r="D2" s="447"/>
      <c r="E2" s="447"/>
      <c r="F2" s="96"/>
      <c r="G2" s="96"/>
      <c r="H2" s="96"/>
      <c r="I2" s="780"/>
      <c r="J2" s="96"/>
    </row>
    <row r="3" spans="2:16" ht="64.5" customHeight="1">
      <c r="B3" s="3735" t="s">
        <v>39</v>
      </c>
      <c r="C3" s="3737" t="s">
        <v>38</v>
      </c>
      <c r="D3" s="1538" t="s">
        <v>102</v>
      </c>
      <c r="E3" s="447"/>
      <c r="F3" s="3739" t="s">
        <v>1457</v>
      </c>
      <c r="G3" s="1535" t="s">
        <v>858</v>
      </c>
      <c r="H3" s="3725" t="s">
        <v>1482</v>
      </c>
      <c r="I3" s="3725"/>
      <c r="J3" s="1467"/>
    </row>
    <row r="4" spans="2:16" ht="69" customHeight="1" thickBot="1">
      <c r="B4" s="3736"/>
      <c r="C4" s="3738"/>
      <c r="D4" s="1437" t="s">
        <v>103</v>
      </c>
      <c r="E4" s="447"/>
      <c r="F4" s="3740"/>
      <c r="G4" s="1489" t="s">
        <v>104</v>
      </c>
      <c r="H4" s="1541" t="s">
        <v>1481</v>
      </c>
      <c r="I4" s="1541" t="s">
        <v>1595</v>
      </c>
      <c r="J4" s="1405"/>
    </row>
    <row r="5" spans="2:16" ht="38.25" customHeight="1">
      <c r="B5" s="3726" t="s">
        <v>534</v>
      </c>
      <c r="C5" s="1449" t="s">
        <v>1464</v>
      </c>
      <c r="D5" s="1439">
        <v>0.1</v>
      </c>
      <c r="E5" s="447"/>
      <c r="F5" s="1440">
        <v>2120</v>
      </c>
      <c r="G5" s="1490">
        <v>0</v>
      </c>
      <c r="H5" s="1539"/>
      <c r="I5" s="1540"/>
    </row>
    <row r="6" spans="2:16" ht="21.95" customHeight="1">
      <c r="B6" s="3727"/>
      <c r="C6" s="1450" t="s">
        <v>1465</v>
      </c>
      <c r="D6" s="1483">
        <v>0</v>
      </c>
      <c r="E6" s="447"/>
      <c r="F6" s="1484">
        <f>F5</f>
        <v>2120</v>
      </c>
      <c r="G6" s="1491">
        <v>0</v>
      </c>
      <c r="H6" s="1524"/>
      <c r="I6" s="1451"/>
      <c r="J6" s="1469"/>
    </row>
    <row r="7" spans="2:16" ht="21.95" customHeight="1">
      <c r="B7" s="3727"/>
      <c r="C7" s="1452" t="s">
        <v>1466</v>
      </c>
      <c r="D7" s="1486">
        <v>0</v>
      </c>
      <c r="E7" s="447"/>
      <c r="F7" s="1487">
        <v>2400</v>
      </c>
      <c r="G7" s="1492">
        <v>0.1</v>
      </c>
      <c r="H7" s="1524"/>
      <c r="I7" s="1451"/>
      <c r="J7" s="1469"/>
    </row>
    <row r="8" spans="2:16" ht="21.95" customHeight="1">
      <c r="B8" s="3727"/>
      <c r="C8" s="1450" t="s">
        <v>1467</v>
      </c>
      <c r="D8" s="1483">
        <v>0.2</v>
      </c>
      <c r="E8" s="447"/>
      <c r="F8" s="1484">
        <v>2400</v>
      </c>
      <c r="G8" s="1492">
        <v>0.1</v>
      </c>
      <c r="H8" s="1524"/>
      <c r="I8" s="1451"/>
      <c r="J8" s="1469"/>
      <c r="N8" s="1530"/>
      <c r="O8" s="1537"/>
    </row>
    <row r="9" spans="2:16" ht="21.95" customHeight="1">
      <c r="B9" s="3727"/>
      <c r="C9" s="1452" t="s">
        <v>1468</v>
      </c>
      <c r="D9" s="1486">
        <v>0.3</v>
      </c>
      <c r="E9" s="447"/>
      <c r="F9" s="1487">
        <v>2700</v>
      </c>
      <c r="G9" s="1492">
        <v>0.3</v>
      </c>
      <c r="H9" s="1534">
        <f>G9-G8</f>
        <v>0.19999999999999998</v>
      </c>
      <c r="I9" s="1451"/>
      <c r="J9" s="1469"/>
      <c r="M9" s="1530"/>
      <c r="N9" s="1530"/>
      <c r="O9" s="1537"/>
      <c r="P9" s="1530"/>
    </row>
    <row r="10" spans="2:16" s="85" customFormat="1" ht="21.95" customHeight="1">
      <c r="B10" s="3727"/>
      <c r="C10" s="1450" t="s">
        <v>1469</v>
      </c>
      <c r="D10" s="1483">
        <v>0.4</v>
      </c>
      <c r="E10" s="447"/>
      <c r="F10" s="1484">
        <v>2700</v>
      </c>
      <c r="G10" s="1493">
        <v>0.3</v>
      </c>
      <c r="H10" s="1524">
        <f>G10-G8</f>
        <v>0.19999999999999998</v>
      </c>
      <c r="I10" s="1451"/>
      <c r="J10" s="1469"/>
      <c r="K10" s="1525"/>
      <c r="M10" s="1536"/>
      <c r="N10" s="1536"/>
      <c r="O10" s="1537"/>
    </row>
    <row r="11" spans="2:16" ht="21.95" customHeight="1">
      <c r="B11" s="3727"/>
      <c r="C11" s="1452" t="s">
        <v>1470</v>
      </c>
      <c r="D11" s="1486">
        <v>0.5</v>
      </c>
      <c r="E11" s="447"/>
      <c r="F11" s="1487">
        <v>2700</v>
      </c>
      <c r="G11" s="1492">
        <v>0.3</v>
      </c>
      <c r="H11" s="1524">
        <f>H10</f>
        <v>0.19999999999999998</v>
      </c>
      <c r="I11" s="1451"/>
      <c r="J11" s="1469"/>
      <c r="K11" s="1525"/>
    </row>
    <row r="12" spans="2:16" ht="21.95" customHeight="1">
      <c r="B12" s="3727"/>
      <c r="C12" s="1450" t="s">
        <v>1471</v>
      </c>
      <c r="D12" s="1483">
        <v>0.55000000000000004</v>
      </c>
      <c r="E12" s="447"/>
      <c r="F12" s="1484">
        <v>3000</v>
      </c>
      <c r="G12" s="1491">
        <v>0.5</v>
      </c>
      <c r="H12" s="1524">
        <f>G12-G8</f>
        <v>0.4</v>
      </c>
      <c r="I12" s="1451">
        <f>G12-G10</f>
        <v>0.2</v>
      </c>
      <c r="J12" s="1469"/>
      <c r="K12" s="1525"/>
    </row>
    <row r="13" spans="2:16" ht="21.95" customHeight="1">
      <c r="B13" s="3727"/>
      <c r="C13" s="1452" t="s">
        <v>1472</v>
      </c>
      <c r="D13" s="1486">
        <v>0.6</v>
      </c>
      <c r="E13" s="447"/>
      <c r="F13" s="1487">
        <v>3000</v>
      </c>
      <c r="G13" s="1492">
        <v>0.5</v>
      </c>
      <c r="H13" s="1524">
        <f>G13-G8</f>
        <v>0.4</v>
      </c>
      <c r="I13" s="1451">
        <f>G13-G9</f>
        <v>0.2</v>
      </c>
      <c r="J13" s="1469"/>
      <c r="K13" s="1525"/>
    </row>
    <row r="14" spans="2:16" ht="21.95" customHeight="1">
      <c r="B14" s="3727"/>
      <c r="C14" s="1450" t="s">
        <v>1473</v>
      </c>
      <c r="D14" s="1483">
        <v>0.7</v>
      </c>
      <c r="E14" s="447"/>
      <c r="F14" s="1484">
        <v>3000</v>
      </c>
      <c r="G14" s="1493">
        <v>0.5</v>
      </c>
      <c r="H14" s="1524">
        <f>H13</f>
        <v>0.4</v>
      </c>
      <c r="I14" s="1451">
        <f>I13</f>
        <v>0.2</v>
      </c>
      <c r="J14" s="1469"/>
      <c r="K14" s="1525"/>
    </row>
    <row r="15" spans="2:16" ht="21.75" customHeight="1">
      <c r="B15" s="3727"/>
      <c r="C15" s="1452" t="s">
        <v>1474</v>
      </c>
      <c r="D15" s="1486">
        <v>0.8</v>
      </c>
      <c r="E15" s="447"/>
      <c r="F15" s="1487" t="s">
        <v>3</v>
      </c>
      <c r="G15" s="1492" t="s">
        <v>3</v>
      </c>
      <c r="H15" s="1524" t="s">
        <v>3</v>
      </c>
      <c r="I15" s="1451" t="s">
        <v>3</v>
      </c>
      <c r="J15" s="1469"/>
      <c r="K15" s="1525"/>
    </row>
    <row r="16" spans="2:16" ht="21.95" customHeight="1" thickBot="1">
      <c r="B16" s="3728"/>
      <c r="C16" s="1453" t="s">
        <v>1475</v>
      </c>
      <c r="D16" s="1444">
        <v>0.9</v>
      </c>
      <c r="E16" s="447"/>
      <c r="F16" s="1445" t="s">
        <v>3</v>
      </c>
      <c r="G16" s="1494" t="s">
        <v>3</v>
      </c>
      <c r="H16" s="1533" t="s">
        <v>3</v>
      </c>
      <c r="I16" s="1446" t="s">
        <v>3</v>
      </c>
      <c r="J16" s="1469"/>
      <c r="K16" s="1525"/>
    </row>
    <row r="17" spans="2:13" ht="35.25" customHeight="1">
      <c r="B17" s="3729">
        <v>900</v>
      </c>
      <c r="C17" s="1438" t="str">
        <f t="shared" ref="C17:C26" si="0">C5</f>
        <v xml:space="preserve">до 1850
</v>
      </c>
      <c r="D17" s="1439">
        <f t="shared" ref="D17:D26" si="1">D5+5%</f>
        <v>0.15000000000000002</v>
      </c>
      <c r="E17" s="447"/>
      <c r="F17" s="1440">
        <f>F5</f>
        <v>2120</v>
      </c>
      <c r="G17" s="1490">
        <f>G5</f>
        <v>0</v>
      </c>
      <c r="H17" s="1531"/>
      <c r="I17" s="1532"/>
      <c r="J17" s="1469"/>
    </row>
    <row r="18" spans="2:13" ht="21.95" customHeight="1">
      <c r="B18" s="3730"/>
      <c r="C18" s="1495" t="str">
        <f t="shared" si="0"/>
        <v>до 2000</v>
      </c>
      <c r="D18" s="1483">
        <f t="shared" si="1"/>
        <v>0.05</v>
      </c>
      <c r="E18" s="447"/>
      <c r="F18" s="1484">
        <f>F6</f>
        <v>2120</v>
      </c>
      <c r="G18" s="1491">
        <f>G6</f>
        <v>0</v>
      </c>
      <c r="H18" s="1524"/>
      <c r="I18" s="1451"/>
      <c r="J18" s="1468"/>
    </row>
    <row r="19" spans="2:13" ht="21.95" customHeight="1">
      <c r="B19" s="3730"/>
      <c r="C19" s="1496" t="str">
        <f t="shared" si="0"/>
        <v>до 2100</v>
      </c>
      <c r="D19" s="1486">
        <f t="shared" si="1"/>
        <v>0.05</v>
      </c>
      <c r="E19" s="447"/>
      <c r="F19" s="1487">
        <f t="shared" ref="F19:G26" si="2">F7</f>
        <v>2400</v>
      </c>
      <c r="G19" s="1492">
        <f t="shared" si="2"/>
        <v>0.1</v>
      </c>
      <c r="H19" s="1524"/>
      <c r="I19" s="1451"/>
      <c r="J19" s="1468"/>
    </row>
    <row r="20" spans="2:13" ht="21.95" customHeight="1">
      <c r="B20" s="3730"/>
      <c r="C20" s="1495" t="str">
        <f t="shared" si="0"/>
        <v>до 2200</v>
      </c>
      <c r="D20" s="1483">
        <f t="shared" si="1"/>
        <v>0.25</v>
      </c>
      <c r="E20" s="447"/>
      <c r="F20" s="1484">
        <f t="shared" si="2"/>
        <v>2400</v>
      </c>
      <c r="G20" s="1491">
        <f t="shared" si="2"/>
        <v>0.1</v>
      </c>
      <c r="H20" s="1524"/>
      <c r="I20" s="1451"/>
      <c r="J20" s="1468"/>
    </row>
    <row r="21" spans="2:13" ht="21.95" customHeight="1">
      <c r="B21" s="3730"/>
      <c r="C21" s="1496" t="str">
        <f t="shared" si="0"/>
        <v>до 2300</v>
      </c>
      <c r="D21" s="1486">
        <f t="shared" si="1"/>
        <v>0.35</v>
      </c>
      <c r="E21" s="447"/>
      <c r="F21" s="1487">
        <f t="shared" si="2"/>
        <v>2700</v>
      </c>
      <c r="G21" s="1492">
        <f t="shared" si="2"/>
        <v>0.3</v>
      </c>
      <c r="H21" s="1524">
        <f>H9</f>
        <v>0.19999999999999998</v>
      </c>
      <c r="I21" s="1451"/>
      <c r="J21" s="1469"/>
      <c r="M21" s="159"/>
    </row>
    <row r="22" spans="2:13" ht="21.95" customHeight="1">
      <c r="B22" s="3730"/>
      <c r="C22" s="1495" t="str">
        <f t="shared" si="0"/>
        <v>до 2400</v>
      </c>
      <c r="D22" s="1483">
        <f t="shared" si="1"/>
        <v>0.45</v>
      </c>
      <c r="E22" s="447"/>
      <c r="F22" s="1484">
        <f t="shared" si="2"/>
        <v>2700</v>
      </c>
      <c r="G22" s="1491">
        <f t="shared" si="2"/>
        <v>0.3</v>
      </c>
      <c r="H22" s="1524">
        <f>H10</f>
        <v>0.19999999999999998</v>
      </c>
      <c r="I22" s="1451"/>
      <c r="J22" s="1468"/>
      <c r="M22" s="159"/>
    </row>
    <row r="23" spans="2:13" ht="21.95" customHeight="1">
      <c r="B23" s="3730"/>
      <c r="C23" s="1496" t="str">
        <f t="shared" si="0"/>
        <v>до 2500</v>
      </c>
      <c r="D23" s="1486">
        <f t="shared" si="1"/>
        <v>0.55000000000000004</v>
      </c>
      <c r="E23" s="447"/>
      <c r="F23" s="1487">
        <f t="shared" si="2"/>
        <v>2700</v>
      </c>
      <c r="G23" s="1492">
        <f t="shared" si="2"/>
        <v>0.3</v>
      </c>
      <c r="H23" s="1524">
        <f t="shared" ref="H23:I28" si="3">H11</f>
        <v>0.19999999999999998</v>
      </c>
      <c r="I23" s="1451"/>
      <c r="J23" s="1468"/>
    </row>
    <row r="24" spans="2:13" ht="21.95" customHeight="1">
      <c r="B24" s="3730"/>
      <c r="C24" s="1495" t="str">
        <f t="shared" si="0"/>
        <v>до 2600</v>
      </c>
      <c r="D24" s="1483">
        <f t="shared" si="1"/>
        <v>0.60000000000000009</v>
      </c>
      <c r="E24" s="447"/>
      <c r="F24" s="1484">
        <f t="shared" si="2"/>
        <v>3000</v>
      </c>
      <c r="G24" s="1491">
        <f t="shared" si="2"/>
        <v>0.5</v>
      </c>
      <c r="H24" s="1524">
        <f t="shared" si="3"/>
        <v>0.4</v>
      </c>
      <c r="I24" s="1451">
        <f>I12</f>
        <v>0.2</v>
      </c>
      <c r="J24" s="1468"/>
    </row>
    <row r="25" spans="2:13" ht="21.95" customHeight="1">
      <c r="B25" s="3730"/>
      <c r="C25" s="1496" t="str">
        <f t="shared" si="0"/>
        <v>до 2700</v>
      </c>
      <c r="D25" s="1486">
        <f t="shared" si="1"/>
        <v>0.65</v>
      </c>
      <c r="E25" s="447"/>
      <c r="F25" s="1487">
        <f t="shared" si="2"/>
        <v>3000</v>
      </c>
      <c r="G25" s="1492">
        <f t="shared" si="2"/>
        <v>0.5</v>
      </c>
      <c r="H25" s="1524">
        <f t="shared" si="3"/>
        <v>0.4</v>
      </c>
      <c r="I25" s="1451">
        <f t="shared" si="3"/>
        <v>0.2</v>
      </c>
      <c r="J25" s="1468"/>
    </row>
    <row r="26" spans="2:13" ht="21.95" customHeight="1">
      <c r="B26" s="3730"/>
      <c r="C26" s="1495" t="str">
        <f t="shared" si="0"/>
        <v>до 2800</v>
      </c>
      <c r="D26" s="1483">
        <f t="shared" si="1"/>
        <v>0.75</v>
      </c>
      <c r="E26" s="447"/>
      <c r="F26" s="1484">
        <f t="shared" si="2"/>
        <v>3000</v>
      </c>
      <c r="G26" s="1491">
        <f t="shared" si="2"/>
        <v>0.5</v>
      </c>
      <c r="H26" s="1524">
        <f t="shared" si="3"/>
        <v>0.4</v>
      </c>
      <c r="I26" s="1451">
        <f t="shared" si="3"/>
        <v>0.2</v>
      </c>
      <c r="J26" s="1468"/>
    </row>
    <row r="27" spans="2:13" ht="21.95" customHeight="1">
      <c r="B27" s="3730"/>
      <c r="C27" s="1496" t="str">
        <f>C15</f>
        <v>до 2900</v>
      </c>
      <c r="D27" s="1486">
        <f>D15+5%</f>
        <v>0.85000000000000009</v>
      </c>
      <c r="E27" s="447"/>
      <c r="F27" s="1487" t="str">
        <f>F15</f>
        <v>-</v>
      </c>
      <c r="G27" s="1492" t="str">
        <f>G15</f>
        <v>-</v>
      </c>
      <c r="H27" s="1524" t="str">
        <f t="shared" si="3"/>
        <v>-</v>
      </c>
      <c r="I27" s="1451" t="str">
        <f t="shared" si="3"/>
        <v>-</v>
      </c>
      <c r="J27" s="1468"/>
    </row>
    <row r="28" spans="2:13" ht="21.95" customHeight="1" thickBot="1">
      <c r="B28" s="3731"/>
      <c r="C28" s="1443" t="str">
        <f>C16</f>
        <v>до 3000</v>
      </c>
      <c r="D28" s="1444">
        <f>D16+5%</f>
        <v>0.95000000000000007</v>
      </c>
      <c r="E28" s="447"/>
      <c r="F28" s="1445" t="str">
        <f>F16</f>
        <v>-</v>
      </c>
      <c r="G28" s="1494" t="str">
        <f>G16</f>
        <v>-</v>
      </c>
      <c r="H28" s="1533" t="str">
        <f t="shared" si="3"/>
        <v>-</v>
      </c>
      <c r="I28" s="1446" t="str">
        <f>I16</f>
        <v>-</v>
      </c>
      <c r="J28" s="1468"/>
    </row>
    <row r="29" spans="2:13" ht="39.75" customHeight="1">
      <c r="B29" s="3732" t="s">
        <v>1437</v>
      </c>
      <c r="C29" s="1438" t="str">
        <f t="shared" ref="C29:C38" si="4">C5</f>
        <v xml:space="preserve">до 1850
</v>
      </c>
      <c r="D29" s="1439">
        <f>D17+5%</f>
        <v>0.2</v>
      </c>
      <c r="E29" s="447"/>
      <c r="F29" s="1440">
        <f>F5</f>
        <v>2120</v>
      </c>
      <c r="G29" s="1490">
        <f>G5</f>
        <v>0</v>
      </c>
      <c r="H29" s="1531"/>
      <c r="I29" s="1532"/>
      <c r="J29" s="1468"/>
    </row>
    <row r="30" spans="2:13" ht="21.95" customHeight="1">
      <c r="B30" s="3733"/>
      <c r="C30" s="1495" t="str">
        <f t="shared" si="4"/>
        <v>до 2000</v>
      </c>
      <c r="D30" s="1442">
        <f t="shared" ref="D30:D40" si="5">D18+5%</f>
        <v>0.1</v>
      </c>
      <c r="E30" s="447"/>
      <c r="F30" s="1484">
        <f>F6</f>
        <v>2120</v>
      </c>
      <c r="G30" s="1491">
        <f>G6</f>
        <v>0</v>
      </c>
      <c r="H30" s="1524"/>
      <c r="I30" s="1451"/>
      <c r="J30" s="1468"/>
    </row>
    <row r="31" spans="2:13" ht="21.95" customHeight="1">
      <c r="B31" s="3733"/>
      <c r="C31" s="1496" t="str">
        <f t="shared" si="4"/>
        <v>до 2100</v>
      </c>
      <c r="D31" s="1441">
        <f t="shared" si="5"/>
        <v>0.1</v>
      </c>
      <c r="E31" s="447"/>
      <c r="F31" s="1487">
        <f t="shared" ref="F31:G38" si="6">F7</f>
        <v>2400</v>
      </c>
      <c r="G31" s="1492">
        <f t="shared" si="6"/>
        <v>0.1</v>
      </c>
      <c r="H31" s="1524"/>
      <c r="I31" s="1451"/>
      <c r="J31" s="1468"/>
    </row>
    <row r="32" spans="2:13" ht="21.95" customHeight="1">
      <c r="B32" s="3733"/>
      <c r="C32" s="1495" t="str">
        <f t="shared" si="4"/>
        <v>до 2200</v>
      </c>
      <c r="D32" s="1442">
        <f t="shared" si="5"/>
        <v>0.3</v>
      </c>
      <c r="E32" s="447"/>
      <c r="F32" s="1484">
        <f t="shared" si="6"/>
        <v>2400</v>
      </c>
      <c r="G32" s="1491">
        <f t="shared" si="6"/>
        <v>0.1</v>
      </c>
      <c r="H32" s="1524"/>
      <c r="I32" s="1451"/>
      <c r="J32" s="1468"/>
    </row>
    <row r="33" spans="2:10" ht="21.95" customHeight="1">
      <c r="B33" s="3733"/>
      <c r="C33" s="1496" t="str">
        <f t="shared" si="4"/>
        <v>до 2300</v>
      </c>
      <c r="D33" s="1441">
        <f t="shared" si="5"/>
        <v>0.39999999999999997</v>
      </c>
      <c r="E33" s="447"/>
      <c r="F33" s="1487">
        <f t="shared" si="6"/>
        <v>2700</v>
      </c>
      <c r="G33" s="1492">
        <f t="shared" si="6"/>
        <v>0.3</v>
      </c>
      <c r="H33" s="1524">
        <f>H9</f>
        <v>0.19999999999999998</v>
      </c>
      <c r="I33" s="1451"/>
      <c r="J33" s="1468"/>
    </row>
    <row r="34" spans="2:10" ht="21.95" customHeight="1">
      <c r="B34" s="3733"/>
      <c r="C34" s="1495" t="str">
        <f t="shared" si="4"/>
        <v>до 2400</v>
      </c>
      <c r="D34" s="1442">
        <f t="shared" si="5"/>
        <v>0.5</v>
      </c>
      <c r="E34" s="447"/>
      <c r="F34" s="1484">
        <f t="shared" si="6"/>
        <v>2700</v>
      </c>
      <c r="G34" s="1491">
        <f t="shared" si="6"/>
        <v>0.3</v>
      </c>
      <c r="H34" s="1524">
        <f>H22</f>
        <v>0.19999999999999998</v>
      </c>
      <c r="I34" s="1451"/>
      <c r="J34" s="1468"/>
    </row>
    <row r="35" spans="2:10" ht="21.95" customHeight="1">
      <c r="B35" s="3733"/>
      <c r="C35" s="1496" t="str">
        <f t="shared" si="4"/>
        <v>до 2500</v>
      </c>
      <c r="D35" s="1441">
        <f t="shared" si="5"/>
        <v>0.60000000000000009</v>
      </c>
      <c r="E35" s="447"/>
      <c r="F35" s="1487">
        <f t="shared" si="6"/>
        <v>2700</v>
      </c>
      <c r="G35" s="1492">
        <f t="shared" si="6"/>
        <v>0.3</v>
      </c>
      <c r="H35" s="1524">
        <f t="shared" ref="H35:I40" si="7">H23</f>
        <v>0.19999999999999998</v>
      </c>
      <c r="I35" s="1451"/>
      <c r="J35" s="1469"/>
    </row>
    <row r="36" spans="2:10" ht="21.95" customHeight="1">
      <c r="B36" s="3733"/>
      <c r="C36" s="1495" t="str">
        <f t="shared" si="4"/>
        <v>до 2600</v>
      </c>
      <c r="D36" s="1442">
        <f t="shared" si="5"/>
        <v>0.65000000000000013</v>
      </c>
      <c r="E36" s="447"/>
      <c r="F36" s="1484">
        <f t="shared" si="6"/>
        <v>3000</v>
      </c>
      <c r="G36" s="1491">
        <f t="shared" si="6"/>
        <v>0.5</v>
      </c>
      <c r="H36" s="1524">
        <f t="shared" si="7"/>
        <v>0.4</v>
      </c>
      <c r="I36" s="1451">
        <f>I12</f>
        <v>0.2</v>
      </c>
      <c r="J36" s="1469"/>
    </row>
    <row r="37" spans="2:10" ht="21.95" customHeight="1">
      <c r="B37" s="3733"/>
      <c r="C37" s="1496" t="str">
        <f t="shared" si="4"/>
        <v>до 2700</v>
      </c>
      <c r="D37" s="1441">
        <f t="shared" si="5"/>
        <v>0.70000000000000007</v>
      </c>
      <c r="E37" s="447"/>
      <c r="F37" s="1487">
        <f t="shared" si="6"/>
        <v>3000</v>
      </c>
      <c r="G37" s="1492">
        <f t="shared" si="6"/>
        <v>0.5</v>
      </c>
      <c r="H37" s="1524">
        <f t="shared" si="7"/>
        <v>0.4</v>
      </c>
      <c r="I37" s="1451">
        <f t="shared" si="7"/>
        <v>0.2</v>
      </c>
      <c r="J37" s="1468"/>
    </row>
    <row r="38" spans="2:10" ht="21.95" customHeight="1">
      <c r="B38" s="3733"/>
      <c r="C38" s="1495" t="str">
        <f t="shared" si="4"/>
        <v>до 2800</v>
      </c>
      <c r="D38" s="1442">
        <f t="shared" si="5"/>
        <v>0.8</v>
      </c>
      <c r="E38" s="447"/>
      <c r="F38" s="1484">
        <f t="shared" si="6"/>
        <v>3000</v>
      </c>
      <c r="G38" s="1491">
        <f t="shared" si="6"/>
        <v>0.5</v>
      </c>
      <c r="H38" s="1524">
        <f t="shared" si="7"/>
        <v>0.4</v>
      </c>
      <c r="I38" s="1451">
        <f t="shared" si="7"/>
        <v>0.2</v>
      </c>
      <c r="J38" s="1468"/>
    </row>
    <row r="39" spans="2:10" ht="21.95" customHeight="1">
      <c r="B39" s="3733"/>
      <c r="C39" s="1496" t="str">
        <f>C15</f>
        <v>до 2900</v>
      </c>
      <c r="D39" s="1441">
        <f t="shared" si="5"/>
        <v>0.90000000000000013</v>
      </c>
      <c r="E39" s="447"/>
      <c r="F39" s="1487" t="str">
        <f>F15</f>
        <v>-</v>
      </c>
      <c r="G39" s="1492" t="str">
        <f>G15</f>
        <v>-</v>
      </c>
      <c r="H39" s="1524" t="str">
        <f t="shared" si="7"/>
        <v>-</v>
      </c>
      <c r="I39" s="1451" t="str">
        <f t="shared" si="7"/>
        <v>-</v>
      </c>
      <c r="J39" s="1468"/>
    </row>
    <row r="40" spans="2:10" ht="21.95" customHeight="1" thickBot="1">
      <c r="B40" s="3734"/>
      <c r="C40" s="1443" t="str">
        <f>C16</f>
        <v>до 3000</v>
      </c>
      <c r="D40" s="1447">
        <f t="shared" si="5"/>
        <v>1</v>
      </c>
      <c r="E40" s="447"/>
      <c r="F40" s="1445" t="str">
        <f>F16</f>
        <v>-</v>
      </c>
      <c r="G40" s="1494" t="str">
        <f>G16</f>
        <v>-</v>
      </c>
      <c r="H40" s="1533" t="str">
        <f t="shared" si="7"/>
        <v>-</v>
      </c>
      <c r="I40" s="1446" t="str">
        <f t="shared" si="7"/>
        <v>-</v>
      </c>
      <c r="J40" s="1468"/>
    </row>
    <row r="41" spans="2:10" ht="27.75" customHeight="1">
      <c r="B41" s="3708" t="s">
        <v>1607</v>
      </c>
      <c r="C41" s="3708"/>
      <c r="D41" s="3708"/>
      <c r="E41" s="71"/>
      <c r="F41" s="1655" t="s">
        <v>1608</v>
      </c>
      <c r="G41" s="71"/>
      <c r="H41" s="71"/>
      <c r="I41" s="71"/>
      <c r="J41" s="71"/>
    </row>
    <row r="42" spans="2:10" ht="13.5" customHeight="1">
      <c r="B42" s="71" t="s">
        <v>1456</v>
      </c>
      <c r="C42" s="71"/>
      <c r="D42" s="71"/>
      <c r="E42" s="71"/>
      <c r="F42" s="3709" t="s">
        <v>1611</v>
      </c>
      <c r="G42" s="3709"/>
      <c r="H42" s="71"/>
      <c r="I42" s="71"/>
      <c r="J42" s="71"/>
    </row>
    <row r="43" spans="2:10" ht="13.5" customHeight="1">
      <c r="B43" s="3711" t="s">
        <v>1455</v>
      </c>
      <c r="C43" s="3711"/>
      <c r="D43" s="3711"/>
      <c r="E43" s="3711"/>
      <c r="F43" s="3710" t="s">
        <v>1612</v>
      </c>
      <c r="G43" s="3710"/>
      <c r="H43" s="1654"/>
      <c r="I43" s="1654"/>
      <c r="J43" s="71"/>
    </row>
    <row r="44" spans="2:10" ht="16.5" customHeight="1">
      <c r="B44" s="71" t="s">
        <v>1606</v>
      </c>
      <c r="C44" s="71"/>
      <c r="D44" s="71"/>
      <c r="E44" s="71"/>
      <c r="F44" s="3710" t="s">
        <v>1613</v>
      </c>
      <c r="G44" s="3710"/>
      <c r="H44" s="71"/>
      <c r="I44" s="71"/>
      <c r="J44" s="71"/>
    </row>
    <row r="45" spans="2:10" ht="16.5" customHeight="1">
      <c r="B45" s="71"/>
      <c r="C45" s="71"/>
      <c r="D45" s="71"/>
      <c r="E45" s="71"/>
      <c r="F45" s="71" t="s">
        <v>1609</v>
      </c>
      <c r="G45" s="71"/>
      <c r="H45" s="71"/>
      <c r="I45" s="71"/>
      <c r="J45" s="71"/>
    </row>
    <row r="46" spans="2:10" ht="15" customHeight="1">
      <c r="C46" s="71"/>
      <c r="D46" s="71"/>
      <c r="E46" s="71"/>
      <c r="H46" s="71"/>
      <c r="I46" s="71"/>
      <c r="J46" s="71"/>
    </row>
    <row r="47" spans="2:10" ht="15" customHeight="1">
      <c r="B47" s="71"/>
      <c r="C47" s="71"/>
      <c r="D47" s="71"/>
      <c r="E47" s="71"/>
      <c r="F47" s="71"/>
      <c r="G47" s="71"/>
      <c r="H47" s="71"/>
      <c r="I47" s="71"/>
      <c r="J47" s="71"/>
    </row>
    <row r="48" spans="2:10" ht="13.5" customHeight="1">
      <c r="B48" s="229" t="s">
        <v>105</v>
      </c>
      <c r="J48" s="71"/>
    </row>
    <row r="49" spans="2:10" ht="35.25" customHeight="1" thickBot="1">
      <c r="B49" s="1578" t="s">
        <v>26</v>
      </c>
      <c r="C49" s="3745" t="s">
        <v>89</v>
      </c>
      <c r="D49" s="3746"/>
      <c r="E49" s="3747"/>
      <c r="F49" s="1582" t="s">
        <v>104</v>
      </c>
      <c r="G49" s="1578" t="s">
        <v>27</v>
      </c>
      <c r="J49" s="71"/>
    </row>
    <row r="50" spans="2:10" ht="35.25" customHeight="1">
      <c r="B50" s="3743" t="s">
        <v>145</v>
      </c>
      <c r="C50" s="3748" t="s">
        <v>106</v>
      </c>
      <c r="D50" s="3748"/>
      <c r="E50" s="3748"/>
      <c r="F50" s="1583">
        <v>0</v>
      </c>
      <c r="G50" s="1584"/>
    </row>
    <row r="51" spans="2:10" ht="21.75" customHeight="1">
      <c r="B51" s="3764"/>
      <c r="C51" s="3749" t="s">
        <v>107</v>
      </c>
      <c r="D51" s="3749"/>
      <c r="E51" s="3749"/>
      <c r="F51" s="1475">
        <v>0</v>
      </c>
      <c r="G51" s="1476"/>
    </row>
    <row r="52" spans="2:10" ht="15.75" customHeight="1">
      <c r="B52" s="3764"/>
      <c r="C52" s="3763">
        <v>2000</v>
      </c>
      <c r="D52" s="3763"/>
      <c r="E52" s="3763"/>
      <c r="F52" s="1473">
        <v>0.3</v>
      </c>
      <c r="G52" s="1474" t="s">
        <v>108</v>
      </c>
    </row>
    <row r="53" spans="2:10" ht="21.95" customHeight="1">
      <c r="B53" s="3764"/>
      <c r="C53" s="3749" t="s">
        <v>109</v>
      </c>
      <c r="D53" s="3749"/>
      <c r="E53" s="3749"/>
      <c r="F53" s="1475">
        <v>0.4</v>
      </c>
      <c r="G53" s="1476" t="s">
        <v>108</v>
      </c>
    </row>
    <row r="54" spans="2:10" ht="21.95" customHeight="1" thickBot="1">
      <c r="B54" s="3744"/>
      <c r="C54" s="3762" t="s">
        <v>106</v>
      </c>
      <c r="D54" s="3762"/>
      <c r="E54" s="3762"/>
      <c r="F54" s="1477">
        <v>0</v>
      </c>
      <c r="G54" s="1478"/>
    </row>
    <row r="55" spans="2:10" ht="21.95" customHeight="1">
      <c r="B55" s="3741" t="s">
        <v>110</v>
      </c>
      <c r="C55" s="3750" t="s">
        <v>107</v>
      </c>
      <c r="D55" s="3751"/>
      <c r="E55" s="3752"/>
      <c r="F55" s="1580">
        <v>0</v>
      </c>
      <c r="G55" s="1581"/>
    </row>
    <row r="56" spans="2:10" ht="14.25" customHeight="1">
      <c r="B56" s="3741"/>
      <c r="C56" s="3753">
        <v>2000</v>
      </c>
      <c r="D56" s="3754"/>
      <c r="E56" s="3755"/>
      <c r="F56" s="1473">
        <v>0.3</v>
      </c>
      <c r="G56" s="1474" t="s">
        <v>111</v>
      </c>
    </row>
    <row r="57" spans="2:10" ht="21.95" customHeight="1">
      <c r="B57" s="3741"/>
      <c r="C57" s="3756" t="s">
        <v>109</v>
      </c>
      <c r="D57" s="3757"/>
      <c r="E57" s="3758"/>
      <c r="F57" s="1475">
        <v>0.4</v>
      </c>
      <c r="G57" s="1476" t="s">
        <v>111</v>
      </c>
    </row>
    <row r="58" spans="2:10" ht="21.95" customHeight="1" thickBot="1">
      <c r="B58" s="3742"/>
      <c r="C58" s="3759" t="s">
        <v>112</v>
      </c>
      <c r="D58" s="3760"/>
      <c r="E58" s="3761"/>
      <c r="F58" s="1477">
        <v>0</v>
      </c>
      <c r="G58" s="1478"/>
    </row>
    <row r="59" spans="2:10" ht="24" customHeight="1">
      <c r="B59" s="3743" t="s">
        <v>511</v>
      </c>
      <c r="C59" s="3765" t="s">
        <v>113</v>
      </c>
      <c r="D59" s="3766"/>
      <c r="E59" s="3767"/>
      <c r="F59" s="1471">
        <v>0.3</v>
      </c>
      <c r="G59" s="1472"/>
    </row>
    <row r="60" spans="2:10" ht="21.95" customHeight="1" thickBot="1">
      <c r="B60" s="3744"/>
      <c r="C60" s="3759" t="s">
        <v>109</v>
      </c>
      <c r="D60" s="3760"/>
      <c r="E60" s="3761"/>
      <c r="F60" s="1477">
        <v>0.4</v>
      </c>
      <c r="G60" s="1478"/>
    </row>
    <row r="61" spans="2:10" ht="11.25" customHeight="1">
      <c r="B61" s="1485" t="s">
        <v>1438</v>
      </c>
      <c r="C61" s="1375"/>
      <c r="D61" s="1375"/>
      <c r="E61" s="1406"/>
      <c r="J61" s="77"/>
    </row>
    <row r="62" spans="2:10" ht="11.25" customHeight="1">
      <c r="B62" s="1485"/>
      <c r="C62" s="1406"/>
      <c r="D62" s="1406"/>
      <c r="E62" s="1406"/>
      <c r="J62" s="77"/>
    </row>
    <row r="63" spans="2:10" ht="15" customHeight="1">
      <c r="B63" s="229"/>
      <c r="C63" s="1389"/>
      <c r="D63" s="1389"/>
      <c r="E63" s="1389"/>
      <c r="F63" s="1389"/>
      <c r="G63" s="1389"/>
      <c r="H63" s="1389"/>
      <c r="I63" s="1389"/>
    </row>
    <row r="64" spans="2:10" s="77" customFormat="1" ht="27.75" customHeight="1">
      <c r="B64" s="1529" t="s">
        <v>1462</v>
      </c>
      <c r="F64" s="73"/>
      <c r="G64" s="73"/>
      <c r="H64" s="1389"/>
      <c r="I64" s="1389"/>
      <c r="J64" s="1389"/>
    </row>
    <row r="65" spans="1:10" s="77" customFormat="1" ht="15" customHeight="1">
      <c r="B65" s="229"/>
      <c r="F65" s="73"/>
      <c r="G65" s="73"/>
      <c r="H65" s="1389"/>
      <c r="I65" s="1389"/>
      <c r="J65" s="1389"/>
    </row>
    <row r="66" spans="1:10" s="77" customFormat="1" ht="15" customHeight="1">
      <c r="B66" s="1527" t="s">
        <v>1476</v>
      </c>
      <c r="C66" s="3723" t="s">
        <v>1477</v>
      </c>
      <c r="D66" s="3724"/>
      <c r="E66" s="3712" t="s">
        <v>27</v>
      </c>
      <c r="F66" s="3713"/>
      <c r="G66" s="3714"/>
      <c r="H66" s="1389"/>
      <c r="I66" s="1389"/>
      <c r="J66" s="1389"/>
    </row>
    <row r="67" spans="1:10" s="77" customFormat="1" ht="51" customHeight="1">
      <c r="B67" s="1526" t="s">
        <v>1461</v>
      </c>
      <c r="C67" s="3768" t="s">
        <v>1463</v>
      </c>
      <c r="D67" s="3769"/>
      <c r="E67" s="3715" t="s">
        <v>1507</v>
      </c>
      <c r="F67" s="3716"/>
      <c r="G67" s="3717"/>
      <c r="H67" s="1389"/>
      <c r="I67" s="1389"/>
      <c r="J67" s="1389"/>
    </row>
    <row r="68" spans="1:10" s="152" customFormat="1" ht="63" customHeight="1">
      <c r="B68" s="1528" t="s">
        <v>1235</v>
      </c>
      <c r="C68" s="3721" t="s">
        <v>1236</v>
      </c>
      <c r="D68" s="3722"/>
      <c r="E68" s="3718" t="s">
        <v>1480</v>
      </c>
      <c r="F68" s="3719"/>
      <c r="G68" s="3720"/>
    </row>
    <row r="69" spans="1:10" s="152" customFormat="1" ht="99.75" customHeight="1">
      <c r="B69" s="1526" t="s">
        <v>1029</v>
      </c>
      <c r="C69" s="3768" t="s">
        <v>1039</v>
      </c>
      <c r="D69" s="3769"/>
      <c r="E69" s="3770" t="s">
        <v>1508</v>
      </c>
      <c r="F69" s="3771"/>
      <c r="G69" s="3772"/>
    </row>
    <row r="70" spans="1:10" s="152" customFormat="1" ht="90" customHeight="1">
      <c r="B70" s="1528" t="s">
        <v>1212</v>
      </c>
      <c r="C70" s="3721" t="s">
        <v>1213</v>
      </c>
      <c r="D70" s="3722"/>
      <c r="E70" s="3718" t="s">
        <v>1479</v>
      </c>
      <c r="F70" s="3719"/>
      <c r="G70" s="3720"/>
    </row>
    <row r="71" spans="1:10">
      <c r="A71" s="980"/>
    </row>
    <row r="72" spans="1:10">
      <c r="A72" s="980"/>
      <c r="B72" s="1523"/>
    </row>
    <row r="73" spans="1:10">
      <c r="A73" s="980"/>
    </row>
    <row r="74" spans="1:10" ht="36" customHeight="1">
      <c r="A74" s="808"/>
    </row>
    <row r="75" spans="1:10">
      <c r="A75" s="810"/>
    </row>
    <row r="76" spans="1:10" ht="30.75" customHeight="1">
      <c r="A76" s="810"/>
    </row>
    <row r="77" spans="1:10">
      <c r="A77" s="811"/>
    </row>
    <row r="78" spans="1:10" ht="15" customHeight="1">
      <c r="A78" s="811"/>
    </row>
    <row r="79" spans="1:10" ht="15" customHeight="1">
      <c r="A79" s="811"/>
      <c r="B79" s="346"/>
    </row>
    <row r="80" spans="1:10" ht="21" customHeight="1">
      <c r="A80" s="811"/>
    </row>
    <row r="81" spans="1:1">
      <c r="A81" s="811"/>
    </row>
    <row r="82" spans="1:1" ht="13.35" customHeight="1"/>
    <row r="84" spans="1:1" ht="13.35" customHeight="1"/>
    <row r="86" spans="1:1" ht="13.35" customHeight="1"/>
    <row r="87" spans="1:1" ht="13.35" customHeight="1"/>
    <row r="88" spans="1:1" ht="13.35" customHeight="1"/>
    <row r="89" spans="1:1" ht="15" customHeight="1"/>
    <row r="90" spans="1:1" ht="13.35" customHeight="1"/>
    <row r="92" spans="1:1" ht="13.35" customHeight="1"/>
    <row r="94" spans="1:1" ht="15" customHeight="1"/>
    <row r="95" spans="1:1" ht="22.5" customHeight="1"/>
    <row r="97" ht="13.35" customHeight="1"/>
    <row r="99" ht="13.35" customHeight="1"/>
    <row r="101" ht="13.35" customHeight="1"/>
    <row r="102" ht="13.35" customHeight="1"/>
    <row r="103" ht="13.35" customHeight="1"/>
    <row r="104" ht="13.35" customHeight="1"/>
    <row r="105" ht="13.35" customHeight="1"/>
    <row r="106" ht="13.35" customHeight="1"/>
    <row r="107" ht="13.35" customHeight="1"/>
    <row r="110" ht="15" customHeight="1"/>
    <row r="111" ht="20.25" customHeight="1"/>
    <row r="113" ht="13.35" customHeight="1"/>
    <row r="115" ht="13.35" customHeight="1"/>
    <row r="117" ht="13.35" customHeight="1"/>
    <row r="118" ht="13.35" customHeight="1"/>
    <row r="119" ht="13.35" customHeight="1"/>
    <row r="120" ht="13.35" customHeight="1"/>
    <row r="121" ht="13.35" customHeight="1"/>
    <row r="123" ht="13.35" customHeight="1"/>
    <row r="124" ht="15" customHeight="1"/>
    <row r="127" ht="19.5" customHeight="1"/>
    <row r="129" ht="13.35" customHeight="1"/>
    <row r="131" ht="13.35" customHeight="1"/>
    <row r="132" ht="14.1" customHeight="1"/>
    <row r="133" ht="13.35" customHeight="1"/>
    <row r="134" ht="13.35" customHeight="1"/>
    <row r="135" ht="13.35" customHeight="1"/>
    <row r="136" ht="13.35" customHeight="1"/>
    <row r="137" ht="13.35" customHeight="1"/>
    <row r="139" ht="13.35" customHeight="1"/>
    <row r="143" ht="22.5" customHeight="1"/>
    <row r="145" ht="13.35" customHeight="1"/>
    <row r="146" ht="15" customHeight="1"/>
    <row r="147" ht="13.35" customHeight="1"/>
    <row r="148" ht="13.35" customHeight="1"/>
    <row r="149" ht="13.35" customHeight="1"/>
    <row r="150" ht="13.35" customHeight="1"/>
    <row r="151" ht="13.35" customHeight="1"/>
    <row r="152" ht="15" customHeight="1"/>
    <row r="153" ht="13.35" customHeight="1"/>
    <row r="154" ht="15" customHeight="1"/>
    <row r="155" ht="15" customHeight="1"/>
    <row r="156" ht="22.5" customHeight="1"/>
    <row r="158" ht="13.35" customHeight="1"/>
    <row r="160" ht="13.35" customHeight="1"/>
    <row r="161" ht="14.1" customHeight="1"/>
    <row r="162" ht="13.35" customHeight="1"/>
    <row r="163" ht="13.35" customHeight="1"/>
    <row r="164" ht="13.35" customHeight="1"/>
    <row r="165" ht="13.35" customHeight="1"/>
    <row r="166" ht="13.35" customHeight="1"/>
    <row r="168" ht="13.35" customHeight="1"/>
    <row r="169" ht="22.5" customHeight="1"/>
    <row r="170" ht="15" customHeight="1"/>
    <row r="173" ht="13.35" customHeight="1"/>
    <row r="175" ht="24.75" customHeight="1"/>
    <row r="177" ht="13.35" customHeight="1"/>
    <row r="178" ht="15" customHeight="1"/>
    <row r="181" ht="13.35" customHeight="1"/>
    <row r="184" ht="15" customHeight="1"/>
    <row r="186" ht="21" customHeight="1"/>
    <row r="188" ht="13.35" customHeight="1"/>
    <row r="190" ht="13.35" customHeight="1"/>
    <row r="191" ht="16.350000000000001" customHeight="1"/>
    <row r="192" ht="16.350000000000001" customHeight="1"/>
    <row r="193" ht="13.35" customHeight="1"/>
    <row r="194" ht="13.35" customHeight="1"/>
    <row r="195" ht="23.45" customHeight="1"/>
    <row r="196" ht="25.35" customHeight="1"/>
    <row r="197" ht="13.35" customHeight="1"/>
    <row r="198" ht="13.35" customHeight="1"/>
    <row r="199" ht="15" customHeight="1"/>
    <row r="202" ht="15" customHeight="1"/>
    <row r="203" ht="21.75" customHeight="1"/>
    <row r="205" ht="13.35" customHeight="1"/>
    <row r="207" ht="13.35" customHeight="1"/>
    <row r="208" ht="13.35" customHeight="1"/>
    <row r="209" ht="13.35" customHeight="1"/>
    <row r="210" ht="13.35" customHeight="1"/>
    <row r="211" ht="13.35" customHeight="1"/>
    <row r="212" ht="13.35" customHeight="1"/>
    <row r="213" ht="13.35" customHeight="1"/>
    <row r="214" ht="13.35" customHeight="1"/>
    <row r="215" ht="13.35" customHeight="1"/>
    <row r="218" ht="15" customHeight="1"/>
    <row r="221" ht="23.25" customHeight="1"/>
    <row r="223" ht="13.35" customHeight="1"/>
    <row r="225" ht="13.35" customHeight="1"/>
    <row r="226" ht="13.35" customHeight="1"/>
    <row r="227" ht="13.35" customHeight="1"/>
    <row r="228" ht="13.35" customHeight="1"/>
    <row r="229" ht="13.35" customHeight="1"/>
    <row r="230" ht="13.35" customHeight="1"/>
    <row r="231" ht="13.35" customHeight="1"/>
    <row r="234" ht="15" customHeight="1"/>
    <row r="235" ht="21" customHeight="1"/>
    <row r="237" ht="13.35" customHeight="1"/>
    <row r="239" ht="13.35" customHeight="1"/>
    <row r="240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5" customHeight="1"/>
    <row r="249" ht="15" customHeight="1"/>
    <row r="251" ht="15" customHeight="1"/>
    <row r="254" ht="15" customHeight="1"/>
    <row r="261" ht="15" customHeight="1"/>
    <row r="263" ht="15" customHeight="1"/>
    <row r="265" ht="15" customHeight="1"/>
    <row r="266" ht="24.75" customHeight="1"/>
    <row r="267" ht="15" customHeight="1"/>
    <row r="269" ht="13.35" customHeight="1"/>
    <row r="271" ht="13.35" customHeight="1"/>
    <row r="273" ht="13.35" customHeight="1"/>
    <row r="274" ht="29.25" customHeight="1"/>
    <row r="275" ht="13.35" customHeight="1"/>
    <row r="277" ht="13.35" customHeight="1"/>
    <row r="279" ht="13.35" customHeight="1"/>
    <row r="286" ht="20.25" customHeight="1"/>
    <row r="288" ht="25.5" customHeight="1"/>
    <row r="289" ht="17.100000000000001" customHeight="1"/>
    <row r="290" ht="24.75" customHeight="1"/>
    <row r="291" ht="17.100000000000001" customHeight="1"/>
    <row r="292" ht="24.75" customHeight="1"/>
    <row r="293" ht="17.100000000000001" customHeight="1"/>
    <row r="294" ht="24" customHeight="1"/>
    <row r="295" ht="17.100000000000001" customHeight="1"/>
    <row r="296" ht="17.100000000000001" customHeight="1"/>
    <row r="297" ht="17.100000000000001" customHeight="1"/>
    <row r="298" ht="22.5" customHeight="1"/>
    <row r="299" ht="23.25" customHeight="1"/>
  </sheetData>
  <mergeCells count="37">
    <mergeCell ref="C69:D69"/>
    <mergeCell ref="C70:D70"/>
    <mergeCell ref="E69:G69"/>
    <mergeCell ref="E70:G70"/>
    <mergeCell ref="C67:D67"/>
    <mergeCell ref="B55:B58"/>
    <mergeCell ref="B59:B60"/>
    <mergeCell ref="C49:E49"/>
    <mergeCell ref="C50:E50"/>
    <mergeCell ref="C51:E51"/>
    <mergeCell ref="C53:E53"/>
    <mergeCell ref="C55:E55"/>
    <mergeCell ref="C56:E56"/>
    <mergeCell ref="C57:E57"/>
    <mergeCell ref="C58:E58"/>
    <mergeCell ref="C54:E54"/>
    <mergeCell ref="C52:E52"/>
    <mergeCell ref="B50:B54"/>
    <mergeCell ref="C59:E59"/>
    <mergeCell ref="C60:E60"/>
    <mergeCell ref="H3:I3"/>
    <mergeCell ref="B5:B16"/>
    <mergeCell ref="B17:B28"/>
    <mergeCell ref="B29:B40"/>
    <mergeCell ref="B3:B4"/>
    <mergeCell ref="C3:C4"/>
    <mergeCell ref="F3:F4"/>
    <mergeCell ref="E66:G66"/>
    <mergeCell ref="E67:G67"/>
    <mergeCell ref="E68:G68"/>
    <mergeCell ref="C68:D68"/>
    <mergeCell ref="C66:D66"/>
    <mergeCell ref="B41:D41"/>
    <mergeCell ref="F42:G42"/>
    <mergeCell ref="F43:G43"/>
    <mergeCell ref="F44:G44"/>
    <mergeCell ref="B43:E43"/>
  </mergeCells>
  <hyperlinks>
    <hyperlink ref="B1" location="Содержание!A1" display="Вернуться в содержание"/>
  </hyperlinks>
  <printOptions horizontalCentered="1"/>
  <pageMargins left="3.937007874015748E-2" right="3.937007874015748E-2" top="0.55118110236220474" bottom="0.55118110236220474" header="0.11811023622047245" footer="0.11811023622047245"/>
  <pageSetup paperSize="9" scale="45" firstPageNumber="63" orientation="landscape" useFirstPageNumber="1" r:id="rId1"/>
  <headerFooter>
    <oddFooter>&amp;L&amp;P&amp;R&amp;24&amp;G</oddFooter>
  </headerFooter>
  <rowBreaks count="1" manualBreakCount="1">
    <brk id="47" max="8" man="1"/>
  </rowBreaks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38"/>
  <dimension ref="A1:I70"/>
  <sheetViews>
    <sheetView view="pageBreakPreview" zoomScale="80" zoomScaleNormal="60" zoomScaleSheetLayoutView="80" zoomScalePageLayoutView="85" workbookViewId="0">
      <pane ySplit="1" topLeftCell="A44" activePane="bottomLeft" state="frozen"/>
      <selection pane="bottomLeft" activeCell="B1" sqref="B1"/>
    </sheetView>
  </sheetViews>
  <sheetFormatPr defaultColWidth="9.140625" defaultRowHeight="15"/>
  <cols>
    <col min="1" max="1" width="7" style="109" customWidth="1"/>
    <col min="2" max="2" width="47.5703125" style="109" customWidth="1"/>
    <col min="3" max="3" width="20.7109375" style="109" customWidth="1"/>
    <col min="4" max="4" width="22.28515625" style="109" customWidth="1"/>
    <col min="5" max="5" width="27.7109375" style="109" customWidth="1"/>
    <col min="6" max="6" width="26.5703125" style="109" customWidth="1"/>
    <col min="7" max="7" width="9.28515625" style="109" customWidth="1"/>
    <col min="8" max="8" width="27.7109375" style="109" customWidth="1"/>
    <col min="9" max="9" width="12.42578125" style="109" customWidth="1"/>
    <col min="10" max="10" width="9.85546875" style="109" customWidth="1"/>
    <col min="11" max="11" width="14.42578125" style="109" customWidth="1"/>
    <col min="12" max="12" width="12.7109375" style="109" customWidth="1"/>
    <col min="13" max="13" width="14" style="109" customWidth="1"/>
    <col min="14" max="14" width="22" style="109" customWidth="1"/>
    <col min="15" max="15" width="21.28515625" style="109" customWidth="1"/>
    <col min="16" max="16384" width="9.140625" style="109"/>
  </cols>
  <sheetData>
    <row r="1" spans="2:6" s="1024" customFormat="1" ht="18" customHeight="1">
      <c r="B1" s="1034" t="s">
        <v>307</v>
      </c>
      <c r="C1" s="1029"/>
    </row>
    <row r="3" spans="2:6" ht="15.75">
      <c r="B3" s="373"/>
      <c r="C3" s="73"/>
      <c r="D3" s="73"/>
      <c r="E3" s="73"/>
      <c r="F3" s="73"/>
    </row>
    <row r="4" spans="2:6" s="471" customFormat="1" ht="15.75">
      <c r="B4" s="373" t="s">
        <v>1486</v>
      </c>
    </row>
    <row r="5" spans="2:6" s="471" customFormat="1"/>
    <row r="6" spans="2:6" s="471" customFormat="1">
      <c r="B6" s="3773" t="s">
        <v>1440</v>
      </c>
      <c r="C6" s="3773"/>
      <c r="D6" s="1638" t="s">
        <v>102</v>
      </c>
      <c r="E6" s="3773" t="s">
        <v>27</v>
      </c>
      <c r="F6" s="3773"/>
    </row>
    <row r="7" spans="2:6" s="471" customFormat="1">
      <c r="B7" s="3776" t="s">
        <v>1718</v>
      </c>
      <c r="C7" s="3777"/>
      <c r="D7" s="3777"/>
      <c r="E7" s="3777"/>
      <c r="F7" s="3778"/>
    </row>
    <row r="8" spans="2:6" s="20" customFormat="1" ht="30" customHeight="1">
      <c r="B8" s="3783" t="s">
        <v>1485</v>
      </c>
      <c r="C8" s="3784"/>
      <c r="D8" s="1640">
        <v>0.2</v>
      </c>
      <c r="E8" s="3785"/>
      <c r="F8" s="3786"/>
    </row>
    <row r="9" spans="2:6" s="20" customFormat="1" ht="52.5" customHeight="1">
      <c r="B9" s="3783" t="s">
        <v>1591</v>
      </c>
      <c r="C9" s="3784"/>
      <c r="D9" s="1641">
        <v>3500</v>
      </c>
      <c r="E9" s="3774" t="s">
        <v>1588</v>
      </c>
      <c r="F9" s="3775"/>
    </row>
    <row r="10" spans="2:6" s="20" customFormat="1" ht="33.75" customHeight="1">
      <c r="B10" s="3787" t="s">
        <v>1830</v>
      </c>
      <c r="C10" s="3787"/>
      <c r="D10" s="1639">
        <v>0.15</v>
      </c>
      <c r="E10" s="3788" t="s">
        <v>1719</v>
      </c>
      <c r="F10" s="3789"/>
    </row>
    <row r="11" spans="2:6" s="20" customFormat="1" ht="83.25" customHeight="1">
      <c r="B11" s="3798" t="s">
        <v>1742</v>
      </c>
      <c r="C11" s="3798"/>
      <c r="D11" s="1717" t="s">
        <v>1738</v>
      </c>
      <c r="E11" s="3799" t="s">
        <v>1740</v>
      </c>
      <c r="F11" s="3799"/>
    </row>
    <row r="12" spans="2:6" s="20" customFormat="1" ht="15.75">
      <c r="B12" s="1625" t="s">
        <v>1574</v>
      </c>
      <c r="C12" s="1623"/>
      <c r="D12" s="1626"/>
      <c r="E12" s="1627"/>
      <c r="F12" s="1628"/>
    </row>
    <row r="13" spans="2:6" s="471" customFormat="1" ht="36" customHeight="1">
      <c r="B13" s="3779" t="s">
        <v>1573</v>
      </c>
      <c r="C13" s="3793"/>
      <c r="D13" s="1608">
        <v>0.7</v>
      </c>
      <c r="E13" s="1632" t="s">
        <v>1545</v>
      </c>
      <c r="F13" s="1633"/>
    </row>
    <row r="14" spans="2:6" s="471" customFormat="1" ht="15.75">
      <c r="B14" s="3779" t="s">
        <v>1577</v>
      </c>
      <c r="C14" s="3780"/>
      <c r="D14" s="1629">
        <v>0.3</v>
      </c>
      <c r="E14" s="3781" t="s">
        <v>1575</v>
      </c>
      <c r="F14" s="3782"/>
    </row>
    <row r="15" spans="2:6" s="471" customFormat="1" ht="33.75" customHeight="1">
      <c r="B15" s="3796" t="s">
        <v>1579</v>
      </c>
      <c r="C15" s="3797"/>
      <c r="D15" s="1629">
        <v>0.15</v>
      </c>
      <c r="E15" s="3794" t="s">
        <v>1578</v>
      </c>
      <c r="F15" s="3795"/>
    </row>
    <row r="16" spans="2:6" s="471" customFormat="1" ht="22.5" customHeight="1">
      <c r="B16" s="1631"/>
      <c r="C16" s="1631"/>
      <c r="D16" s="1624"/>
      <c r="E16" s="1630"/>
      <c r="F16" s="1630"/>
    </row>
    <row r="17" spans="1:8" s="471" customFormat="1"/>
    <row r="18" spans="1:8" s="471" customFormat="1" ht="15.75">
      <c r="B18" s="373" t="s">
        <v>1487</v>
      </c>
      <c r="C18" s="73"/>
      <c r="D18" s="73"/>
      <c r="E18" s="73"/>
      <c r="F18" s="73"/>
    </row>
    <row r="19" spans="1:8" s="471" customFormat="1" ht="15.75">
      <c r="B19" s="373"/>
      <c r="C19" s="73"/>
      <c r="D19" s="73"/>
      <c r="E19" s="73"/>
      <c r="F19" s="73"/>
    </row>
    <row r="20" spans="1:8" ht="15.75">
      <c r="B20" s="1448" t="s">
        <v>1721</v>
      </c>
    </row>
    <row r="21" spans="1:8">
      <c r="A21" s="669"/>
      <c r="B21" s="77" t="s">
        <v>1439</v>
      </c>
    </row>
    <row r="22" spans="1:8" ht="33" customHeight="1">
      <c r="A22" s="669"/>
      <c r="B22" s="669"/>
    </row>
    <row r="23" spans="1:8">
      <c r="A23" s="669"/>
      <c r="B23" s="669"/>
    </row>
    <row r="24" spans="1:8">
      <c r="A24" s="669"/>
      <c r="B24" s="669"/>
    </row>
    <row r="25" spans="1:8">
      <c r="A25" s="669"/>
      <c r="B25" s="669"/>
    </row>
    <row r="26" spans="1:8" ht="18.75" customHeight="1">
      <c r="A26" s="669"/>
      <c r="B26" s="669"/>
      <c r="H26" s="203"/>
    </row>
    <row r="27" spans="1:8">
      <c r="A27" s="669"/>
      <c r="B27" s="669"/>
    </row>
    <row r="28" spans="1:8" ht="33" customHeight="1">
      <c r="A28" s="669"/>
      <c r="B28" s="669"/>
    </row>
    <row r="29" spans="1:8" ht="21.75" customHeight="1">
      <c r="A29" s="669"/>
      <c r="B29" s="669"/>
    </row>
    <row r="30" spans="1:8" ht="18.75" customHeight="1">
      <c r="A30" s="669"/>
      <c r="B30" s="669"/>
    </row>
    <row r="31" spans="1:8" s="471" customFormat="1" ht="18.75" customHeight="1">
      <c r="A31" s="669"/>
      <c r="B31" s="669"/>
    </row>
    <row r="32" spans="1:8" s="471" customFormat="1" ht="15.75">
      <c r="B32" s="1448" t="s">
        <v>1720</v>
      </c>
    </row>
    <row r="33" spans="1:8" s="471" customFormat="1" ht="18.75" customHeight="1">
      <c r="A33" s="669"/>
      <c r="B33" s="669"/>
    </row>
    <row r="34" spans="1:8" ht="15.75">
      <c r="B34" s="1448" t="s">
        <v>1488</v>
      </c>
    </row>
    <row r="35" spans="1:8" s="471" customFormat="1">
      <c r="B35" s="1485"/>
    </row>
    <row r="36" spans="1:8" s="471" customFormat="1" ht="18.75">
      <c r="B36" s="1542" t="s">
        <v>1484</v>
      </c>
    </row>
    <row r="37" spans="1:8" s="471" customFormat="1" ht="18.75">
      <c r="B37" s="1542"/>
    </row>
    <row r="38" spans="1:8" s="471" customFormat="1" ht="15.75">
      <c r="B38" s="373" t="s">
        <v>1810</v>
      </c>
    </row>
    <row r="39" spans="1:8" s="471" customFormat="1" ht="15.75">
      <c r="B39" s="373"/>
    </row>
    <row r="40" spans="1:8" s="471" customFormat="1" ht="15.75">
      <c r="B40" s="1448" t="s">
        <v>1809</v>
      </c>
    </row>
    <row r="41" spans="1:8" s="471" customFormat="1" ht="21.75" customHeight="1">
      <c r="B41" s="1832" t="s">
        <v>1811</v>
      </c>
      <c r="C41" s="1832"/>
    </row>
    <row r="42" spans="1:8" s="471" customFormat="1" ht="33.75" customHeight="1">
      <c r="B42" s="3800" t="s">
        <v>1812</v>
      </c>
      <c r="C42" s="3800"/>
      <c r="D42" s="3800"/>
      <c r="E42" s="3800"/>
      <c r="F42" s="3800"/>
    </row>
    <row r="43" spans="1:8" s="471" customFormat="1" ht="32.25" customHeight="1">
      <c r="B43" s="3800" t="s">
        <v>1813</v>
      </c>
      <c r="C43" s="3800"/>
      <c r="D43" s="3800"/>
      <c r="E43" s="3800"/>
      <c r="F43" s="3800"/>
    </row>
    <row r="44" spans="1:8" s="471" customFormat="1" ht="17.25" customHeight="1">
      <c r="B44" s="3801" t="s">
        <v>1824</v>
      </c>
      <c r="C44" s="3801"/>
      <c r="D44" s="3801"/>
      <c r="E44" s="3801"/>
      <c r="F44" s="3801"/>
    </row>
    <row r="45" spans="1:8" s="471" customFormat="1" ht="18" customHeight="1">
      <c r="B45" s="3801"/>
      <c r="C45" s="3801"/>
      <c r="D45" s="3801"/>
      <c r="E45" s="3801"/>
      <c r="F45" s="3801"/>
    </row>
    <row r="46" spans="1:8" s="471" customFormat="1" ht="18" customHeight="1">
      <c r="B46" s="1846"/>
      <c r="C46" s="1846"/>
      <c r="D46" s="1846"/>
      <c r="E46" s="1846"/>
      <c r="F46" s="1846"/>
    </row>
    <row r="47" spans="1:8" s="471" customFormat="1" ht="24" customHeight="1">
      <c r="A47" s="765"/>
      <c r="B47" s="373" t="s">
        <v>1814</v>
      </c>
      <c r="C47" s="765"/>
      <c r="D47" s="765"/>
      <c r="E47" s="765"/>
      <c r="F47" s="765"/>
      <c r="G47" s="765"/>
      <c r="H47" s="765"/>
    </row>
    <row r="48" spans="1:8" ht="19.5" customHeight="1">
      <c r="A48" s="451"/>
    </row>
    <row r="49" spans="1:9" s="767" customFormat="1">
      <c r="B49" s="1497" t="s">
        <v>526</v>
      </c>
      <c r="C49" s="1498" t="s">
        <v>958</v>
      </c>
      <c r="D49" s="1499" t="s">
        <v>1452</v>
      </c>
      <c r="E49" s="1498" t="s">
        <v>1451</v>
      </c>
    </row>
    <row r="50" spans="1:9">
      <c r="A50" s="109">
        <v>1</v>
      </c>
      <c r="B50" s="20" t="s">
        <v>949</v>
      </c>
    </row>
    <row r="51" spans="1:9" ht="21.95" customHeight="1">
      <c r="B51" s="2339" t="s">
        <v>959</v>
      </c>
      <c r="C51" s="2340" t="s">
        <v>961</v>
      </c>
      <c r="D51" s="2341">
        <f>CEILING(E51*$A$70, 50)</f>
        <v>6300</v>
      </c>
      <c r="E51" s="2342">
        <v>3800</v>
      </c>
    </row>
    <row r="52" spans="1:9" ht="21.95" customHeight="1">
      <c r="B52" s="2339" t="s">
        <v>960</v>
      </c>
      <c r="C52" s="2340" t="s">
        <v>948</v>
      </c>
      <c r="D52" s="2341">
        <f t="shared" ref="D52:D54" si="0">CEILING(E52*$A$70, 50)</f>
        <v>850</v>
      </c>
      <c r="E52" s="2342">
        <v>500</v>
      </c>
    </row>
    <row r="53" spans="1:9" s="471" customFormat="1" ht="21.95" customHeight="1">
      <c r="B53" s="2339" t="s">
        <v>2172</v>
      </c>
      <c r="C53" s="2340" t="s">
        <v>2173</v>
      </c>
      <c r="D53" s="2341">
        <f t="shared" si="0"/>
        <v>2000</v>
      </c>
      <c r="E53" s="2342">
        <v>1200</v>
      </c>
    </row>
    <row r="54" spans="1:9" s="471" customFormat="1" ht="40.5" customHeight="1">
      <c r="B54" s="2343" t="s">
        <v>2174</v>
      </c>
      <c r="C54" s="2340" t="s">
        <v>2175</v>
      </c>
      <c r="D54" s="2341">
        <f t="shared" si="0"/>
        <v>850</v>
      </c>
      <c r="E54" s="2342">
        <v>500</v>
      </c>
    </row>
    <row r="55" spans="1:9">
      <c r="B55" s="61"/>
      <c r="C55" s="1521"/>
      <c r="D55" s="61"/>
      <c r="E55" s="61"/>
    </row>
    <row r="56" spans="1:9" s="471" customFormat="1">
      <c r="A56" s="471">
        <v>2</v>
      </c>
      <c r="B56" s="361" t="s">
        <v>950</v>
      </c>
      <c r="C56" s="1521"/>
      <c r="D56" s="61"/>
      <c r="E56" s="61"/>
    </row>
    <row r="57" spans="1:9" s="471" customFormat="1" ht="21.95" customHeight="1">
      <c r="B57" s="1518" t="s">
        <v>956</v>
      </c>
      <c r="C57" s="1519" t="s">
        <v>973</v>
      </c>
      <c r="D57" s="1520">
        <f>CEILING(E57*$A$70, 50)</f>
        <v>350</v>
      </c>
      <c r="E57" s="1522">
        <v>200</v>
      </c>
      <c r="I57" s="1513"/>
    </row>
    <row r="58" spans="1:9" ht="21.95" customHeight="1">
      <c r="B58" s="1502" t="s">
        <v>954</v>
      </c>
      <c r="C58" s="3790" t="s">
        <v>957</v>
      </c>
      <c r="D58" s="1516">
        <f>CEILING(E58*$A$70, 50)</f>
        <v>700</v>
      </c>
      <c r="E58" s="1511">
        <v>400</v>
      </c>
    </row>
    <row r="59" spans="1:9" s="471" customFormat="1" ht="21.95" customHeight="1">
      <c r="B59" s="1502" t="s">
        <v>955</v>
      </c>
      <c r="C59" s="3791"/>
      <c r="D59" s="1516">
        <f>CEILING(E59*$A$70, 50)</f>
        <v>700</v>
      </c>
      <c r="E59" s="1511">
        <v>400</v>
      </c>
    </row>
    <row r="60" spans="1:9" s="471" customFormat="1" ht="21.95" customHeight="1">
      <c r="B60" s="1503" t="s">
        <v>1081</v>
      </c>
      <c r="C60" s="3792"/>
      <c r="D60" s="1515">
        <f>CEILING(E60*$A$70, 50)</f>
        <v>1650</v>
      </c>
      <c r="E60" s="1510">
        <v>1000</v>
      </c>
    </row>
    <row r="62" spans="1:9" s="471" customFormat="1">
      <c r="A62" s="471">
        <v>3</v>
      </c>
      <c r="B62" s="20" t="s">
        <v>951</v>
      </c>
      <c r="D62" s="1508"/>
    </row>
    <row r="63" spans="1:9" ht="21.95" customHeight="1">
      <c r="B63" s="1500" t="s">
        <v>972</v>
      </c>
      <c r="C63" s="1504" t="s">
        <v>971</v>
      </c>
      <c r="D63" s="1514">
        <f>CEILING(E63*$A$70, 50)</f>
        <v>50</v>
      </c>
      <c r="E63" s="1509">
        <v>30</v>
      </c>
    </row>
    <row r="64" spans="1:9" s="471" customFormat="1" ht="29.25" customHeight="1">
      <c r="B64" s="1502" t="s">
        <v>967</v>
      </c>
      <c r="C64" s="769" t="s">
        <v>970</v>
      </c>
      <c r="D64" s="1516">
        <f>CEILING(E64*$A$70, 50)</f>
        <v>50</v>
      </c>
      <c r="E64" s="1511">
        <v>30</v>
      </c>
    </row>
    <row r="65" spans="1:5" s="471" customFormat="1" ht="32.25" customHeight="1">
      <c r="B65" s="1501" t="s">
        <v>968</v>
      </c>
      <c r="C65" s="1505" t="s">
        <v>969</v>
      </c>
      <c r="D65" s="1515">
        <f>CEILING(E65*$A$70, 50)</f>
        <v>50</v>
      </c>
      <c r="E65" s="1510">
        <v>30</v>
      </c>
    </row>
    <row r="67" spans="1:5" s="471" customFormat="1">
      <c r="A67" s="471">
        <v>4</v>
      </c>
      <c r="B67" s="20" t="s">
        <v>962</v>
      </c>
    </row>
    <row r="68" spans="1:5" s="471" customFormat="1" ht="21.95" customHeight="1">
      <c r="B68" s="1506" t="s">
        <v>964</v>
      </c>
      <c r="C68" s="1507" t="s">
        <v>963</v>
      </c>
      <c r="D68" s="1517">
        <f>CEILING(E68*$A$70, 50)</f>
        <v>2500</v>
      </c>
      <c r="E68" s="1512">
        <v>1500</v>
      </c>
    </row>
    <row r="69" spans="1:5" ht="3" customHeight="1"/>
    <row r="70" spans="1:5" hidden="1">
      <c r="A70" s="109">
        <v>1.65</v>
      </c>
    </row>
  </sheetData>
  <mergeCells count="20">
    <mergeCell ref="C58:C60"/>
    <mergeCell ref="B13:C13"/>
    <mergeCell ref="E15:F15"/>
    <mergeCell ref="B15:C15"/>
    <mergeCell ref="B11:C11"/>
    <mergeCell ref="E11:F11"/>
    <mergeCell ref="B42:F42"/>
    <mergeCell ref="B43:F43"/>
    <mergeCell ref="B44:F45"/>
    <mergeCell ref="E6:F6"/>
    <mergeCell ref="B6:C6"/>
    <mergeCell ref="E9:F9"/>
    <mergeCell ref="B7:F7"/>
    <mergeCell ref="B14:C14"/>
    <mergeCell ref="E14:F14"/>
    <mergeCell ref="B9:C9"/>
    <mergeCell ref="B8:C8"/>
    <mergeCell ref="E8:F8"/>
    <mergeCell ref="B10:C10"/>
    <mergeCell ref="E10:F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7" firstPageNumber="68" orientation="portrait" useFirstPageNumber="1" r:id="rId1"/>
  <headerFooter>
    <oddFooter>&amp;L&amp;P&amp;R&amp;24&amp;G</oddFooter>
  </headerFooter>
  <rowBreaks count="1" manualBreakCount="1">
    <brk id="70" max="6" man="1"/>
  </row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43"/>
  <dimension ref="A1:P71"/>
  <sheetViews>
    <sheetView view="pageBreakPreview" zoomScale="80" zoomScaleNormal="100" zoomScaleSheetLayoutView="80" workbookViewId="0">
      <pane ySplit="1" topLeftCell="A11" activePane="bottomLeft" state="frozen"/>
      <selection pane="bottomLeft"/>
    </sheetView>
  </sheetViews>
  <sheetFormatPr defaultColWidth="9.140625" defaultRowHeight="15"/>
  <cols>
    <col min="1" max="1" width="60.7109375" style="73" customWidth="1"/>
    <col min="2" max="2" width="4.140625" style="73" customWidth="1"/>
    <col min="3" max="4" width="30.7109375" style="73" customWidth="1"/>
    <col min="5" max="5" width="17" style="73" customWidth="1"/>
    <col min="6" max="11" width="9.140625" style="73"/>
    <col min="12" max="16" width="9.140625" style="252"/>
    <col min="17" max="16384" width="9.140625" style="73"/>
  </cols>
  <sheetData>
    <row r="1" spans="1:16" ht="18" customHeight="1">
      <c r="A1" s="1034" t="s">
        <v>307</v>
      </c>
      <c r="B1" s="71"/>
      <c r="C1" s="71"/>
    </row>
    <row r="2" spans="1:16" ht="18" customHeight="1">
      <c r="A2" s="71"/>
      <c r="B2" s="71"/>
      <c r="C2" s="71"/>
      <c r="D2" s="71"/>
      <c r="L2" s="73"/>
      <c r="M2" s="73"/>
      <c r="N2" s="73"/>
      <c r="O2" s="73"/>
      <c r="P2" s="73"/>
    </row>
    <row r="3" spans="1:16" s="380" customFormat="1" ht="18" customHeight="1">
      <c r="A3" s="490"/>
      <c r="B3" s="24"/>
      <c r="C3" s="381"/>
      <c r="D3" s="1913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</row>
    <row r="4" spans="1:16" ht="18" customHeight="1">
      <c r="A4" s="715" t="s">
        <v>220</v>
      </c>
      <c r="B4" s="71"/>
      <c r="C4" s="3804" t="s">
        <v>18</v>
      </c>
      <c r="D4" s="3804"/>
      <c r="E4" s="71"/>
    </row>
    <row r="5" spans="1:16" ht="14.45" customHeight="1">
      <c r="A5" s="762" t="s">
        <v>1515</v>
      </c>
      <c r="B5" s="71"/>
      <c r="C5" s="762" t="s">
        <v>1894</v>
      </c>
      <c r="D5" s="763" t="s">
        <v>142</v>
      </c>
      <c r="E5" s="71"/>
    </row>
    <row r="6" spans="1:16" s="86" customFormat="1" ht="14.45" customHeight="1">
      <c r="A6" s="1893" t="s">
        <v>135</v>
      </c>
      <c r="B6" s="375"/>
      <c r="C6" s="1914" t="s">
        <v>210</v>
      </c>
      <c r="D6" s="1915" t="s">
        <v>150</v>
      </c>
      <c r="E6" s="98"/>
    </row>
    <row r="7" spans="1:16" ht="14.45" customHeight="1">
      <c r="A7" s="1894" t="s">
        <v>1512</v>
      </c>
      <c r="B7" s="94"/>
      <c r="C7" s="1916" t="s">
        <v>213</v>
      </c>
      <c r="D7" s="1917" t="s">
        <v>206</v>
      </c>
      <c r="E7" s="71"/>
    </row>
    <row r="8" spans="1:16" ht="14.45" customHeight="1">
      <c r="A8" s="1893" t="s">
        <v>137</v>
      </c>
      <c r="B8" s="94"/>
      <c r="C8" s="1914" t="s">
        <v>214</v>
      </c>
      <c r="D8" s="1915" t="s">
        <v>150</v>
      </c>
      <c r="E8" s="71"/>
    </row>
    <row r="9" spans="1:16" ht="14.45" customHeight="1">
      <c r="A9" s="1894" t="s">
        <v>744</v>
      </c>
      <c r="B9" s="94"/>
      <c r="C9" s="1916" t="s">
        <v>745</v>
      </c>
      <c r="D9" s="1917" t="s">
        <v>746</v>
      </c>
      <c r="E9" s="71"/>
    </row>
    <row r="10" spans="1:16" ht="14.45" customHeight="1">
      <c r="A10" s="1893" t="s">
        <v>186</v>
      </c>
      <c r="B10" s="94"/>
      <c r="C10" s="1914" t="s">
        <v>212</v>
      </c>
      <c r="D10" s="1915" t="s">
        <v>185</v>
      </c>
      <c r="E10" s="71"/>
    </row>
    <row r="11" spans="1:16" ht="14.45" customHeight="1">
      <c r="A11" s="1894" t="s">
        <v>136</v>
      </c>
      <c r="B11" s="94"/>
      <c r="C11" s="1916" t="s">
        <v>211</v>
      </c>
      <c r="D11" s="1917" t="s">
        <v>201</v>
      </c>
      <c r="E11" s="71"/>
    </row>
    <row r="12" spans="1:16" ht="14.45" customHeight="1">
      <c r="A12" s="1893" t="s">
        <v>1234</v>
      </c>
      <c r="B12" s="94"/>
      <c r="C12" s="1914" t="s">
        <v>1231</v>
      </c>
      <c r="D12" s="1915" t="s">
        <v>1232</v>
      </c>
      <c r="E12" s="71"/>
    </row>
    <row r="13" spans="1:16" ht="14.45" customHeight="1">
      <c r="A13" s="1894" t="s">
        <v>218</v>
      </c>
      <c r="B13" s="94"/>
      <c r="C13" s="1916" t="s">
        <v>215</v>
      </c>
      <c r="D13" s="1917" t="s">
        <v>150</v>
      </c>
      <c r="E13" s="71"/>
    </row>
    <row r="14" spans="1:16" ht="14.45" customHeight="1">
      <c r="A14" s="1893" t="s">
        <v>219</v>
      </c>
      <c r="B14" s="71"/>
      <c r="C14" s="1914" t="s">
        <v>216</v>
      </c>
      <c r="D14" s="1915" t="s">
        <v>144</v>
      </c>
      <c r="E14" s="71"/>
    </row>
    <row r="15" spans="1:16" ht="14.45" customHeight="1">
      <c r="B15" s="71"/>
      <c r="C15" s="1918" t="s">
        <v>1886</v>
      </c>
      <c r="D15" s="1919" t="s">
        <v>1873</v>
      </c>
      <c r="E15" s="71"/>
    </row>
    <row r="16" spans="1:16" ht="14.45" customHeight="1">
      <c r="A16" s="762" t="s">
        <v>1516</v>
      </c>
      <c r="B16" s="71"/>
      <c r="C16" s="1920" t="s">
        <v>1883</v>
      </c>
      <c r="D16" s="1921" t="s">
        <v>1874</v>
      </c>
      <c r="E16" s="95"/>
    </row>
    <row r="17" spans="1:5" ht="14.45" customHeight="1">
      <c r="A17" s="1887" t="s">
        <v>996</v>
      </c>
      <c r="B17" s="71"/>
      <c r="C17" s="1916" t="s">
        <v>1884</v>
      </c>
      <c r="D17" s="1919" t="s">
        <v>1875</v>
      </c>
      <c r="E17" s="95"/>
    </row>
    <row r="18" spans="1:5" ht="14.45" customHeight="1">
      <c r="A18" s="1888" t="s">
        <v>118</v>
      </c>
      <c r="B18" s="71"/>
      <c r="C18" s="1920" t="s">
        <v>1876</v>
      </c>
      <c r="D18" s="1921" t="s">
        <v>1882</v>
      </c>
      <c r="E18" s="95"/>
    </row>
    <row r="19" spans="1:5" ht="14.45" customHeight="1">
      <c r="A19" s="1889" t="s">
        <v>541</v>
      </c>
      <c r="B19" s="71"/>
      <c r="C19" s="1918" t="s">
        <v>1885</v>
      </c>
      <c r="D19" s="1919" t="s">
        <v>1881</v>
      </c>
      <c r="E19" s="95"/>
    </row>
    <row r="20" spans="1:5" ht="14.45" customHeight="1">
      <c r="A20" s="1890" t="s">
        <v>747</v>
      </c>
      <c r="B20" s="71"/>
      <c r="C20" s="1914" t="s">
        <v>1877</v>
      </c>
      <c r="D20" s="1921" t="s">
        <v>1880</v>
      </c>
      <c r="E20" s="95"/>
    </row>
    <row r="21" spans="1:5" ht="14.45" customHeight="1">
      <c r="A21" s="1889" t="s">
        <v>748</v>
      </c>
      <c r="B21" s="71"/>
      <c r="C21" s="1918" t="s">
        <v>1878</v>
      </c>
      <c r="D21" s="1919" t="s">
        <v>1879</v>
      </c>
      <c r="E21" s="71"/>
    </row>
    <row r="22" spans="1:5" ht="14.45" customHeight="1">
      <c r="A22" s="1888" t="s">
        <v>497</v>
      </c>
      <c r="B22" s="71"/>
      <c r="E22" s="71"/>
    </row>
    <row r="23" spans="1:5" ht="14.45" customHeight="1">
      <c r="A23" s="1887" t="s">
        <v>119</v>
      </c>
      <c r="B23" s="71"/>
      <c r="C23" s="762" t="s">
        <v>1895</v>
      </c>
      <c r="D23" s="763" t="s">
        <v>142</v>
      </c>
      <c r="E23" s="71"/>
    </row>
    <row r="24" spans="1:5" ht="14.45" customHeight="1">
      <c r="A24" s="1891" t="s">
        <v>190</v>
      </c>
      <c r="B24" s="71"/>
      <c r="C24" s="1922" t="s">
        <v>138</v>
      </c>
      <c r="D24" s="1915" t="s">
        <v>150</v>
      </c>
      <c r="E24" s="71"/>
    </row>
    <row r="25" spans="1:5" ht="14.45" customHeight="1">
      <c r="A25" s="1892" t="s">
        <v>121</v>
      </c>
      <c r="B25" s="71"/>
      <c r="C25" s="1923" t="s">
        <v>221</v>
      </c>
      <c r="D25" s="1917" t="s">
        <v>206</v>
      </c>
      <c r="E25" s="71"/>
    </row>
    <row r="26" spans="1:5" ht="14.45" customHeight="1">
      <c r="B26" s="71"/>
      <c r="C26" s="1922" t="s">
        <v>140</v>
      </c>
      <c r="D26" s="1915" t="s">
        <v>150</v>
      </c>
      <c r="E26" s="71"/>
    </row>
    <row r="27" spans="1:5" ht="14.45" customHeight="1">
      <c r="A27" s="762" t="s">
        <v>1829</v>
      </c>
      <c r="B27" s="71"/>
      <c r="C27" s="1923" t="s">
        <v>911</v>
      </c>
      <c r="D27" s="1917" t="s">
        <v>746</v>
      </c>
      <c r="E27" s="71"/>
    </row>
    <row r="28" spans="1:5" ht="14.45" customHeight="1">
      <c r="A28" s="1884" t="s">
        <v>1826</v>
      </c>
      <c r="B28" s="71"/>
      <c r="C28" s="1922" t="s">
        <v>187</v>
      </c>
      <c r="D28" s="1915" t="s">
        <v>185</v>
      </c>
      <c r="E28" s="71"/>
    </row>
    <row r="29" spans="1:5" ht="15.75" customHeight="1">
      <c r="A29" s="1885" t="s">
        <v>1827</v>
      </c>
      <c r="B29" s="71"/>
      <c r="C29" s="1923" t="s">
        <v>139</v>
      </c>
      <c r="D29" s="1917" t="s">
        <v>201</v>
      </c>
      <c r="E29" s="71"/>
    </row>
    <row r="30" spans="1:5" ht="15.75" customHeight="1">
      <c r="A30" s="1886" t="s">
        <v>1828</v>
      </c>
      <c r="B30" s="71"/>
      <c r="C30" s="1922" t="s">
        <v>1233</v>
      </c>
      <c r="D30" s="1915" t="s">
        <v>1232</v>
      </c>
      <c r="E30" s="71"/>
    </row>
    <row r="31" spans="1:5" ht="15.75" customHeight="1">
      <c r="A31" s="1883"/>
      <c r="B31" s="71"/>
      <c r="C31" s="1923" t="s">
        <v>143</v>
      </c>
      <c r="D31" s="1917" t="s">
        <v>150</v>
      </c>
      <c r="E31" s="71"/>
    </row>
    <row r="32" spans="1:5" ht="15.75" customHeight="1">
      <c r="A32" s="1910" t="s">
        <v>1295</v>
      </c>
      <c r="B32" s="71"/>
      <c r="C32" s="1922" t="s">
        <v>141</v>
      </c>
      <c r="D32" s="1915" t="s">
        <v>144</v>
      </c>
      <c r="E32" s="71"/>
    </row>
    <row r="33" spans="1:11" ht="15.75" customHeight="1">
      <c r="A33" s="1911" t="s">
        <v>120</v>
      </c>
      <c r="B33" s="71"/>
      <c r="C33" s="1924" t="s">
        <v>1887</v>
      </c>
      <c r="D33" s="1919" t="s">
        <v>1873</v>
      </c>
      <c r="E33" s="71"/>
      <c r="I33" s="346" t="s">
        <v>4</v>
      </c>
      <c r="J33" s="438"/>
      <c r="K33" s="71"/>
    </row>
    <row r="34" spans="1:11" s="86" customFormat="1" ht="15.75" customHeight="1">
      <c r="A34" s="1912" t="s">
        <v>122</v>
      </c>
      <c r="B34" s="98"/>
      <c r="C34" s="1925" t="s">
        <v>1888</v>
      </c>
      <c r="D34" s="1921" t="s">
        <v>1874</v>
      </c>
      <c r="E34" s="98"/>
      <c r="I34" s="2889" t="s">
        <v>4</v>
      </c>
      <c r="J34" s="2889"/>
      <c r="K34" s="2889"/>
    </row>
    <row r="35" spans="1:11" ht="15.75" customHeight="1">
      <c r="A35" s="347" t="s">
        <v>262</v>
      </c>
      <c r="B35" s="71"/>
      <c r="C35" s="1923" t="s">
        <v>1889</v>
      </c>
      <c r="D35" s="1919" t="s">
        <v>1875</v>
      </c>
      <c r="E35" s="72"/>
    </row>
    <row r="36" spans="1:11" ht="15.75" customHeight="1">
      <c r="A36" s="73" t="s">
        <v>261</v>
      </c>
      <c r="B36" s="71"/>
      <c r="C36" s="1925" t="s">
        <v>1890</v>
      </c>
      <c r="D36" s="1921" t="s">
        <v>1882</v>
      </c>
      <c r="E36" s="71"/>
    </row>
    <row r="37" spans="1:11" ht="15.75" customHeight="1">
      <c r="A37" s="346" t="s">
        <v>1513</v>
      </c>
      <c r="B37" s="71"/>
      <c r="C37" s="1924" t="s">
        <v>1891</v>
      </c>
      <c r="D37" s="1919" t="s">
        <v>1881</v>
      </c>
      <c r="E37" s="71"/>
    </row>
    <row r="38" spans="1:11" ht="15.75" customHeight="1">
      <c r="A38" s="71"/>
      <c r="B38" s="71"/>
      <c r="C38" s="1922" t="s">
        <v>1893</v>
      </c>
      <c r="D38" s="1921" t="s">
        <v>1880</v>
      </c>
      <c r="E38" s="71"/>
    </row>
    <row r="39" spans="1:11" ht="18.75" customHeight="1">
      <c r="A39" s="73" t="s">
        <v>749</v>
      </c>
      <c r="B39" s="71"/>
      <c r="C39" s="1924" t="s">
        <v>1892</v>
      </c>
      <c r="D39" s="1919" t="s">
        <v>1879</v>
      </c>
      <c r="E39" s="271"/>
    </row>
    <row r="40" spans="1:11" ht="17.25" customHeight="1">
      <c r="A40" s="73" t="s">
        <v>1514</v>
      </c>
      <c r="B40" s="71"/>
    </row>
    <row r="41" spans="1:11" ht="32.25" customHeight="1">
      <c r="A41" s="982"/>
      <c r="B41" s="71"/>
      <c r="C41" s="1701" t="s">
        <v>117</v>
      </c>
      <c r="D41" s="1702"/>
    </row>
    <row r="42" spans="1:11" ht="38.25" customHeight="1">
      <c r="B42" s="71"/>
      <c r="C42" s="3802" t="s">
        <v>1722</v>
      </c>
      <c r="D42" s="3803"/>
    </row>
    <row r="43" spans="1:11" ht="27.75" customHeight="1">
      <c r="A43" s="71"/>
      <c r="B43" s="71"/>
      <c r="C43" s="346" t="s">
        <v>260</v>
      </c>
      <c r="D43" s="438"/>
      <c r="E43" s="71"/>
    </row>
    <row r="44" spans="1:11" ht="38.25" customHeight="1">
      <c r="A44" s="71"/>
      <c r="B44" s="71"/>
      <c r="C44" s="2889" t="s">
        <v>1717</v>
      </c>
      <c r="D44" s="2889"/>
      <c r="E44" s="2889"/>
    </row>
    <row r="45" spans="1:11" ht="14.45" customHeight="1">
      <c r="A45" s="71"/>
      <c r="B45" s="71"/>
      <c r="C45" s="71"/>
      <c r="D45" s="71"/>
      <c r="E45" s="71"/>
      <c r="F45" s="71"/>
      <c r="G45" s="71"/>
      <c r="H45" s="71"/>
      <c r="I45" s="71"/>
    </row>
    <row r="46" spans="1:11" ht="14.45" customHeight="1">
      <c r="A46" s="71"/>
      <c r="B46" s="71"/>
      <c r="C46" s="71"/>
      <c r="D46" s="71"/>
      <c r="E46" s="71"/>
      <c r="F46" s="71"/>
      <c r="G46" s="71"/>
      <c r="H46" s="71"/>
      <c r="I46" s="71"/>
    </row>
    <row r="47" spans="1:11" ht="14.45" customHeight="1">
      <c r="A47" s="71"/>
      <c r="B47" s="71"/>
      <c r="C47" s="71"/>
      <c r="D47" s="71"/>
      <c r="E47" s="71"/>
      <c r="F47" s="71"/>
      <c r="G47" s="71"/>
      <c r="H47" s="71"/>
      <c r="I47" s="71"/>
    </row>
    <row r="48" spans="1:11" ht="14.45" customHeight="1">
      <c r="A48" s="97"/>
      <c r="B48" s="71"/>
      <c r="C48" s="71"/>
      <c r="D48" s="71"/>
      <c r="E48" s="71"/>
      <c r="F48" s="71"/>
      <c r="G48" s="71"/>
      <c r="H48" s="71"/>
      <c r="I48" s="71"/>
    </row>
    <row r="49" spans="1:16" ht="14.45" customHeight="1">
      <c r="A49" s="97"/>
      <c r="B49" s="71"/>
      <c r="C49" s="71"/>
      <c r="D49" s="71"/>
      <c r="E49" s="71"/>
      <c r="F49" s="71"/>
      <c r="G49" s="71"/>
      <c r="H49" s="71"/>
      <c r="I49" s="71"/>
    </row>
    <row r="50" spans="1:16" ht="14.45" customHeight="1">
      <c r="A50" s="97"/>
      <c r="B50" s="71"/>
      <c r="C50" s="71"/>
      <c r="D50" s="71"/>
      <c r="E50" s="71"/>
      <c r="F50" s="71"/>
      <c r="G50" s="71"/>
      <c r="H50" s="71"/>
      <c r="I50" s="71"/>
    </row>
    <row r="51" spans="1:16" ht="14.45" customHeight="1">
      <c r="A51" s="97"/>
      <c r="B51" s="71"/>
      <c r="C51" s="71"/>
      <c r="D51" s="71"/>
      <c r="E51" s="71"/>
      <c r="F51" s="71"/>
      <c r="G51" s="71"/>
      <c r="H51" s="71"/>
      <c r="I51" s="71"/>
    </row>
    <row r="52" spans="1:16" ht="14.45" customHeight="1">
      <c r="A52" s="88"/>
      <c r="B52" s="71"/>
      <c r="C52" s="71"/>
      <c r="D52" s="71"/>
      <c r="E52" s="71"/>
      <c r="F52" s="71"/>
      <c r="G52" s="71"/>
      <c r="H52" s="71"/>
      <c r="I52" s="71"/>
    </row>
    <row r="53" spans="1:16" ht="14.45" customHeight="1">
      <c r="A53" s="88"/>
      <c r="B53" s="71"/>
      <c r="C53" s="71"/>
      <c r="D53" s="71"/>
      <c r="E53" s="71"/>
      <c r="F53" s="71"/>
      <c r="G53" s="71"/>
      <c r="H53" s="71"/>
      <c r="I53" s="71"/>
    </row>
    <row r="54" spans="1:16" ht="14.45" customHeight="1">
      <c r="A54" s="88"/>
      <c r="B54" s="71"/>
      <c r="C54" s="71"/>
      <c r="D54" s="71"/>
      <c r="E54" s="71"/>
      <c r="F54" s="71"/>
      <c r="G54" s="71"/>
      <c r="H54" s="71"/>
      <c r="I54" s="71"/>
    </row>
    <row r="55" spans="1:16" ht="14.45" customHeight="1">
      <c r="A55" s="88"/>
      <c r="B55" s="71"/>
      <c r="C55" s="71"/>
      <c r="D55" s="71"/>
      <c r="E55" s="71"/>
      <c r="F55" s="71"/>
      <c r="G55" s="71"/>
      <c r="H55" s="71"/>
      <c r="I55" s="71"/>
    </row>
    <row r="56" spans="1:16" ht="14.45" customHeight="1">
      <c r="A56" s="90"/>
      <c r="B56" s="71"/>
      <c r="C56" s="71"/>
      <c r="D56" s="71"/>
      <c r="E56" s="71"/>
      <c r="F56" s="71"/>
      <c r="G56" s="71"/>
      <c r="H56" s="71"/>
      <c r="I56" s="71"/>
    </row>
    <row r="57" spans="1:16" ht="14.45" customHeight="1">
      <c r="A57" s="79"/>
      <c r="B57" s="97"/>
      <c r="C57" s="97"/>
      <c r="D57" s="97"/>
      <c r="E57" s="71"/>
      <c r="F57" s="71"/>
      <c r="G57" s="71"/>
      <c r="H57" s="71"/>
      <c r="I57" s="71"/>
    </row>
    <row r="58" spans="1:16" s="159" customFormat="1" ht="14.45" customHeight="1">
      <c r="A58" s="88"/>
      <c r="B58" s="71"/>
      <c r="C58" s="254"/>
      <c r="D58" s="255"/>
      <c r="E58" s="97"/>
      <c r="F58" s="97"/>
      <c r="G58" s="97"/>
      <c r="H58" s="97"/>
      <c r="I58" s="97"/>
      <c r="L58" s="253"/>
      <c r="M58" s="253"/>
      <c r="N58" s="253"/>
      <c r="O58" s="253"/>
      <c r="P58" s="253"/>
    </row>
    <row r="59" spans="1:16" ht="14.45" customHeight="1">
      <c r="A59" s="88"/>
      <c r="B59" s="71"/>
      <c r="C59" s="71"/>
      <c r="D59" s="71"/>
      <c r="E59" s="71"/>
    </row>
    <row r="60" spans="1:16" ht="5.25" customHeight="1">
      <c r="A60" s="88"/>
      <c r="C60" s="71"/>
      <c r="D60" s="71"/>
      <c r="E60" s="71"/>
    </row>
    <row r="61" spans="1:16">
      <c r="A61" s="88"/>
      <c r="C61" s="71"/>
      <c r="D61" s="71"/>
    </row>
    <row r="62" spans="1:16">
      <c r="A62" s="88"/>
      <c r="C62" s="71"/>
      <c r="D62" s="71"/>
    </row>
    <row r="63" spans="1:16">
      <c r="A63" s="88"/>
    </row>
    <row r="64" spans="1:16">
      <c r="A64" s="88"/>
    </row>
    <row r="65" spans="1:1">
      <c r="A65" s="88"/>
    </row>
    <row r="66" spans="1:1">
      <c r="A66" s="88"/>
    </row>
    <row r="67" spans="1:1">
      <c r="A67" s="88"/>
    </row>
    <row r="68" spans="1:1">
      <c r="A68" s="88"/>
    </row>
    <row r="69" spans="1:1">
      <c r="A69" s="89"/>
    </row>
    <row r="70" spans="1:1">
      <c r="A70" s="88"/>
    </row>
    <row r="71" spans="1:1">
      <c r="A71" s="88"/>
    </row>
  </sheetData>
  <mergeCells count="4">
    <mergeCell ref="I34:K34"/>
    <mergeCell ref="C42:D42"/>
    <mergeCell ref="C44:E44"/>
    <mergeCell ref="C4:D4"/>
  </mergeCells>
  <hyperlinks>
    <hyperlink ref="A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9" firstPageNumber="64" orientation="landscape" useFirstPageNumber="1" r:id="rId1"/>
  <headerFooter>
    <oddFooter>&amp;L&amp;P&amp;R&amp;24&amp;G</oddFoot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60"/>
  <dimension ref="A1:M32"/>
  <sheetViews>
    <sheetView view="pageBreakPreview" zoomScaleNormal="100" zoomScaleSheetLayoutView="100" zoomScalePageLayoutView="85" workbookViewId="0">
      <pane ySplit="1" topLeftCell="A2" activePane="bottomLeft" state="frozen"/>
      <selection pane="bottomLeft" activeCell="G30" sqref="G30"/>
    </sheetView>
  </sheetViews>
  <sheetFormatPr defaultColWidth="9.140625" defaultRowHeight="15"/>
  <cols>
    <col min="1" max="1" width="9.140625" style="73"/>
    <col min="2" max="2" width="35.7109375" style="73" customWidth="1"/>
    <col min="3" max="3" width="16.140625" style="73" customWidth="1"/>
    <col min="4" max="5" width="4.7109375" style="73" customWidth="1"/>
    <col min="6" max="6" width="5.140625" style="73" customWidth="1"/>
    <col min="7" max="7" width="39.7109375" style="73" customWidth="1"/>
    <col min="8" max="8" width="17.140625" style="73" customWidth="1"/>
    <col min="9" max="9" width="9.140625" style="252" customWidth="1"/>
    <col min="10" max="13" width="9.140625" style="252"/>
    <col min="14" max="16384" width="9.140625" style="73"/>
  </cols>
  <sheetData>
    <row r="1" spans="1:13" s="1035" customFormat="1" ht="18" customHeight="1">
      <c r="B1" s="1034" t="s">
        <v>307</v>
      </c>
      <c r="C1" s="1036"/>
      <c r="I1" s="252"/>
      <c r="J1" s="252"/>
      <c r="K1" s="252"/>
      <c r="L1" s="252"/>
      <c r="M1" s="252"/>
    </row>
    <row r="2" spans="1:13" s="471" customFormat="1" ht="18" customHeight="1">
      <c r="B2" s="490"/>
      <c r="C2" s="24"/>
      <c r="D2" s="381"/>
      <c r="E2" s="381"/>
      <c r="F2" s="381"/>
      <c r="G2" s="373"/>
      <c r="H2" s="381"/>
      <c r="I2" s="381"/>
      <c r="J2" s="381"/>
      <c r="K2" s="381"/>
      <c r="L2" s="381"/>
    </row>
    <row r="3" spans="1:13" s="471" customFormat="1" ht="18" customHeight="1">
      <c r="B3" s="373" t="s">
        <v>527</v>
      </c>
      <c r="C3" s="24"/>
      <c r="D3" s="381"/>
      <c r="E3" s="381"/>
      <c r="F3" s="381"/>
      <c r="G3" s="373"/>
      <c r="H3" s="381"/>
      <c r="I3" s="381"/>
      <c r="J3" s="381"/>
      <c r="K3" s="381"/>
      <c r="L3" s="381"/>
    </row>
    <row r="4" spans="1:13" s="471" customFormat="1" ht="18" customHeight="1">
      <c r="B4" s="766" t="s">
        <v>953</v>
      </c>
      <c r="C4" s="24"/>
      <c r="D4" s="381"/>
      <c r="E4" s="381"/>
      <c r="F4" s="381"/>
      <c r="G4" s="373"/>
      <c r="H4" s="381"/>
      <c r="I4" s="381"/>
      <c r="J4" s="381"/>
      <c r="K4" s="381"/>
      <c r="L4" s="381"/>
    </row>
    <row r="5" spans="1:13" ht="14.45" customHeight="1">
      <c r="A5" s="3805" t="s">
        <v>526</v>
      </c>
      <c r="B5" s="3805"/>
      <c r="C5" s="459" t="s">
        <v>592</v>
      </c>
      <c r="F5" s="3809" t="s">
        <v>526</v>
      </c>
      <c r="G5" s="3809"/>
      <c r="H5" s="458" t="s">
        <v>592</v>
      </c>
    </row>
    <row r="6" spans="1:13" ht="6.75" customHeight="1">
      <c r="B6" s="71"/>
      <c r="C6" s="71"/>
    </row>
    <row r="7" spans="1:13" ht="14.45" customHeight="1">
      <c r="A7" s="3809" t="s">
        <v>2104</v>
      </c>
      <c r="B7" s="3809"/>
      <c r="C7" s="3809"/>
      <c r="F7" s="3806" t="s">
        <v>2102</v>
      </c>
      <c r="G7" s="3807"/>
      <c r="H7" s="3808"/>
    </row>
    <row r="8" spans="1:13" s="514" customFormat="1" ht="14.45" customHeight="1">
      <c r="A8" s="2310">
        <v>1</v>
      </c>
      <c r="B8" s="2305" t="s">
        <v>2105</v>
      </c>
      <c r="C8" s="2311">
        <v>4500</v>
      </c>
      <c r="F8" s="2294">
        <v>1</v>
      </c>
      <c r="G8" s="2287" t="s">
        <v>2098</v>
      </c>
      <c r="H8" s="2291">
        <v>2000</v>
      </c>
    </row>
    <row r="9" spans="1:13" s="478" customFormat="1" ht="14.45" customHeight="1">
      <c r="A9" s="2310">
        <v>2</v>
      </c>
      <c r="B9" s="2305" t="s">
        <v>2106</v>
      </c>
      <c r="C9" s="2311">
        <v>4500</v>
      </c>
      <c r="F9" s="2295">
        <v>2</v>
      </c>
      <c r="G9" s="3810" t="s">
        <v>2099</v>
      </c>
      <c r="H9" s="3811"/>
      <c r="I9" s="516"/>
      <c r="J9" s="517"/>
      <c r="K9" s="517"/>
      <c r="L9" s="517"/>
      <c r="M9" s="517"/>
    </row>
    <row r="10" spans="1:13" s="478" customFormat="1" ht="14.45" customHeight="1">
      <c r="A10" s="2310">
        <v>3</v>
      </c>
      <c r="B10" s="2305" t="s">
        <v>2107</v>
      </c>
      <c r="C10" s="2311" t="s">
        <v>2108</v>
      </c>
      <c r="F10" s="2296"/>
      <c r="G10" s="2288" t="s">
        <v>2094</v>
      </c>
      <c r="H10" s="2291">
        <v>750</v>
      </c>
      <c r="I10" s="516"/>
      <c r="J10" s="517"/>
      <c r="K10" s="517"/>
      <c r="L10" s="517"/>
      <c r="M10" s="517"/>
    </row>
    <row r="11" spans="1:13" s="478" customFormat="1" ht="14.45" customHeight="1">
      <c r="A11" s="2306"/>
      <c r="B11" s="2306" t="s">
        <v>4</v>
      </c>
      <c r="C11" s="2307" t="s">
        <v>4</v>
      </c>
      <c r="F11" s="2297"/>
      <c r="G11" s="2289" t="s">
        <v>2095</v>
      </c>
      <c r="H11" s="2292">
        <v>750</v>
      </c>
      <c r="I11" s="516"/>
      <c r="J11" s="517"/>
      <c r="K11" s="517"/>
      <c r="L11" s="517"/>
      <c r="M11" s="517"/>
    </row>
    <row r="12" spans="1:13" s="514" customFormat="1" ht="14.45" customHeight="1">
      <c r="A12" s="3809" t="s">
        <v>2109</v>
      </c>
      <c r="B12" s="3809"/>
      <c r="C12" s="3809"/>
      <c r="F12" s="2294"/>
      <c r="G12" s="2288" t="s">
        <v>2096</v>
      </c>
      <c r="H12" s="2291">
        <v>750</v>
      </c>
      <c r="I12" s="516"/>
    </row>
    <row r="13" spans="1:13" s="478" customFormat="1" ht="14.45" customHeight="1">
      <c r="A13" s="2313">
        <v>1</v>
      </c>
      <c r="B13" s="2305" t="s">
        <v>2110</v>
      </c>
      <c r="C13" s="2311">
        <v>4500</v>
      </c>
      <c r="F13" s="2297"/>
      <c r="G13" s="2290" t="s">
        <v>2097</v>
      </c>
      <c r="H13" s="2293">
        <v>750</v>
      </c>
      <c r="I13" s="517"/>
      <c r="J13" s="517"/>
      <c r="K13" s="517"/>
      <c r="L13" s="517"/>
      <c r="M13" s="517"/>
    </row>
    <row r="14" spans="1:13" s="478" customFormat="1" ht="14.45" customHeight="1">
      <c r="A14" s="2313">
        <v>2</v>
      </c>
      <c r="B14" s="2305" t="s">
        <v>2111</v>
      </c>
      <c r="C14" s="2311">
        <v>4500</v>
      </c>
      <c r="F14" s="2298">
        <v>3</v>
      </c>
      <c r="G14" s="2315" t="s">
        <v>2100</v>
      </c>
      <c r="H14" s="2300">
        <v>250</v>
      </c>
      <c r="I14" s="517"/>
      <c r="J14" s="517"/>
      <c r="K14" s="517"/>
      <c r="L14" s="517"/>
      <c r="M14" s="517"/>
    </row>
    <row r="15" spans="1:13" s="478" customFormat="1" ht="14.45" customHeight="1">
      <c r="A15" s="2313">
        <v>3</v>
      </c>
      <c r="B15" s="2305" t="s">
        <v>2112</v>
      </c>
      <c r="C15" s="2311">
        <v>4500</v>
      </c>
      <c r="F15" s="2295">
        <v>4</v>
      </c>
      <c r="G15" s="2316" t="s">
        <v>2101</v>
      </c>
      <c r="H15" s="2301">
        <v>250</v>
      </c>
      <c r="I15" s="517"/>
      <c r="J15" s="517"/>
      <c r="K15" s="517"/>
      <c r="L15" s="517"/>
      <c r="M15" s="517"/>
    </row>
    <row r="16" spans="1:13" s="514" customFormat="1" ht="14.45" customHeight="1">
      <c r="A16" s="2313">
        <v>4</v>
      </c>
      <c r="B16" s="2305" t="s">
        <v>2113</v>
      </c>
      <c r="C16" s="2311">
        <v>4500</v>
      </c>
      <c r="E16" s="1148"/>
    </row>
    <row r="17" spans="1:13" s="478" customFormat="1" ht="14.45" customHeight="1">
      <c r="A17" s="3813">
        <v>5</v>
      </c>
      <c r="B17" s="2305" t="s">
        <v>2114</v>
      </c>
      <c r="C17" s="3814">
        <v>6500</v>
      </c>
      <c r="F17" s="3806" t="s">
        <v>2103</v>
      </c>
      <c r="G17" s="3807"/>
      <c r="H17" s="3808"/>
      <c r="I17" s="517"/>
      <c r="J17" s="517"/>
      <c r="K17" s="517"/>
      <c r="L17" s="517"/>
      <c r="M17" s="517"/>
    </row>
    <row r="18" spans="1:13" s="478" customFormat="1" ht="14.45" customHeight="1">
      <c r="A18" s="3813"/>
      <c r="B18" s="2305" t="s">
        <v>2115</v>
      </c>
      <c r="C18" s="3815"/>
      <c r="F18" s="2299">
        <v>1</v>
      </c>
      <c r="G18" s="2302" t="s">
        <v>565</v>
      </c>
      <c r="H18" s="2312">
        <v>35</v>
      </c>
      <c r="I18" s="517"/>
      <c r="J18" s="517"/>
      <c r="K18" s="517"/>
      <c r="L18" s="517"/>
      <c r="M18" s="517"/>
    </row>
    <row r="19" spans="1:13" s="478" customFormat="1" ht="14.45" customHeight="1">
      <c r="A19" s="2308"/>
      <c r="B19" s="2308"/>
      <c r="C19" s="2309"/>
      <c r="F19" s="2304">
        <v>2</v>
      </c>
      <c r="G19" s="2305" t="s">
        <v>566</v>
      </c>
      <c r="H19" s="2311">
        <v>75</v>
      </c>
      <c r="I19" s="517"/>
      <c r="J19" s="517"/>
      <c r="K19" s="517"/>
      <c r="L19" s="517"/>
      <c r="M19" s="517"/>
    </row>
    <row r="20" spans="1:13" s="515" customFormat="1" ht="14.45" customHeight="1">
      <c r="A20" s="3809" t="s">
        <v>285</v>
      </c>
      <c r="B20" s="3809"/>
      <c r="C20" s="3809"/>
      <c r="F20" s="2299">
        <v>3</v>
      </c>
      <c r="G20" s="2303" t="s">
        <v>567</v>
      </c>
      <c r="H20" s="2312">
        <v>170</v>
      </c>
      <c r="I20" s="518"/>
      <c r="J20" s="518"/>
      <c r="K20" s="518"/>
      <c r="L20" s="518"/>
      <c r="M20" s="518"/>
    </row>
    <row r="21" spans="1:13" s="515" customFormat="1" ht="14.45" customHeight="1">
      <c r="A21" s="2310">
        <v>1</v>
      </c>
      <c r="B21" s="2305" t="s">
        <v>2116</v>
      </c>
      <c r="C21" s="2311">
        <v>500</v>
      </c>
      <c r="F21" s="2304">
        <v>4</v>
      </c>
      <c r="G21" s="2305" t="s">
        <v>2093</v>
      </c>
      <c r="H21" s="2311">
        <v>300</v>
      </c>
      <c r="I21" s="518"/>
      <c r="J21" s="518"/>
      <c r="K21" s="518"/>
      <c r="L21" s="518"/>
      <c r="M21" s="518"/>
    </row>
    <row r="22" spans="1:13" ht="14.45" customHeight="1">
      <c r="A22" s="2310">
        <v>2</v>
      </c>
      <c r="B22" s="2305" t="s">
        <v>2117</v>
      </c>
      <c r="C22" s="2311">
        <v>500</v>
      </c>
      <c r="F22" s="2299">
        <v>5</v>
      </c>
      <c r="G22" s="2303" t="s">
        <v>568</v>
      </c>
      <c r="H22" s="2312">
        <v>450</v>
      </c>
    </row>
    <row r="23" spans="1:13" ht="14.45" customHeight="1">
      <c r="A23" s="2310">
        <v>3</v>
      </c>
      <c r="B23" s="2305" t="s">
        <v>2118</v>
      </c>
      <c r="C23" s="2311">
        <v>1500</v>
      </c>
      <c r="E23" s="79"/>
      <c r="F23" s="3812"/>
      <c r="G23" s="3812"/>
      <c r="H23" s="3812"/>
    </row>
    <row r="24" spans="1:13" ht="14.45" customHeight="1">
      <c r="A24" s="2310">
        <v>4</v>
      </c>
      <c r="B24" s="2305" t="s">
        <v>2119</v>
      </c>
      <c r="C24" s="2311">
        <v>25000</v>
      </c>
      <c r="E24" s="79"/>
      <c r="F24" s="2326"/>
      <c r="G24" s="2327"/>
      <c r="H24" s="2326"/>
    </row>
    <row r="25" spans="1:13" s="478" customFormat="1" ht="14.45" customHeight="1">
      <c r="A25" s="2308"/>
      <c r="B25" s="2308"/>
      <c r="C25" s="2309"/>
      <c r="E25" s="2328"/>
      <c r="F25" s="2326"/>
      <c r="G25" s="2327"/>
      <c r="H25" s="2326"/>
      <c r="I25" s="517"/>
      <c r="J25" s="517"/>
      <c r="K25" s="517"/>
      <c r="L25" s="517"/>
      <c r="M25" s="517"/>
    </row>
    <row r="26" spans="1:13" s="478" customFormat="1" ht="14.45" customHeight="1">
      <c r="A26" s="3809" t="s">
        <v>2120</v>
      </c>
      <c r="B26" s="3809"/>
      <c r="C26" s="3809"/>
      <c r="E26" s="2328"/>
      <c r="F26" s="2326"/>
      <c r="G26" s="2327"/>
      <c r="H26" s="2326"/>
      <c r="I26" s="517"/>
      <c r="J26" s="517"/>
      <c r="K26" s="517"/>
      <c r="L26" s="517"/>
      <c r="M26" s="517"/>
    </row>
    <row r="27" spans="1:13" s="478" customFormat="1" ht="14.45" customHeight="1">
      <c r="A27" s="2314">
        <v>1</v>
      </c>
      <c r="B27" s="2305" t="s">
        <v>2121</v>
      </c>
      <c r="C27" s="2311">
        <v>10000</v>
      </c>
      <c r="E27" s="2328"/>
      <c r="F27" s="2329"/>
      <c r="G27" s="2329"/>
      <c r="H27" s="2329"/>
      <c r="I27" s="517"/>
      <c r="J27" s="517"/>
      <c r="K27" s="517"/>
      <c r="L27" s="517"/>
      <c r="M27" s="517"/>
    </row>
    <row r="28" spans="1:13" ht="14.45" customHeight="1">
      <c r="A28" s="2314">
        <v>2</v>
      </c>
      <c r="B28" s="2305" t="s">
        <v>2122</v>
      </c>
      <c r="C28" s="2311">
        <v>10000</v>
      </c>
    </row>
    <row r="29" spans="1:13" s="478" customFormat="1" ht="14.45" customHeight="1">
      <c r="A29" s="2308"/>
      <c r="B29" s="2308"/>
      <c r="C29" s="2309"/>
      <c r="I29" s="517"/>
      <c r="J29" s="517"/>
      <c r="K29" s="517"/>
      <c r="L29" s="517"/>
      <c r="M29" s="517"/>
    </row>
    <row r="30" spans="1:13" s="478" customFormat="1" ht="14.45" customHeight="1">
      <c r="A30" s="2522" t="s">
        <v>2292</v>
      </c>
      <c r="B30" s="2522"/>
      <c r="C30" s="2522"/>
      <c r="D30" s="2522"/>
      <c r="E30" s="2522"/>
      <c r="F30" s="2522"/>
      <c r="G30" s="2522"/>
      <c r="I30" s="517"/>
      <c r="J30" s="517"/>
      <c r="K30" s="517"/>
      <c r="L30" s="517"/>
      <c r="M30" s="517"/>
    </row>
    <row r="31" spans="1:13" s="478" customFormat="1" ht="14.45" customHeight="1">
      <c r="A31" s="2522"/>
      <c r="B31" s="2522"/>
      <c r="C31" s="2522"/>
      <c r="D31" s="2522"/>
      <c r="E31" s="2522"/>
      <c r="F31" s="2522"/>
      <c r="G31" s="2522"/>
      <c r="I31" s="517"/>
      <c r="J31" s="517"/>
      <c r="K31" s="517"/>
      <c r="L31" s="517"/>
      <c r="M31" s="517"/>
    </row>
    <row r="32" spans="1:13" s="478" customFormat="1" ht="14.45" customHeight="1">
      <c r="I32" s="517"/>
      <c r="J32" s="517"/>
      <c r="K32" s="517"/>
      <c r="L32" s="517"/>
      <c r="M32" s="517"/>
    </row>
  </sheetData>
  <mergeCells count="12">
    <mergeCell ref="A5:B5"/>
    <mergeCell ref="F7:H7"/>
    <mergeCell ref="F5:G5"/>
    <mergeCell ref="G9:H9"/>
    <mergeCell ref="A26:C26"/>
    <mergeCell ref="F17:H17"/>
    <mergeCell ref="F23:H23"/>
    <mergeCell ref="A7:C7"/>
    <mergeCell ref="A12:C12"/>
    <mergeCell ref="A17:A18"/>
    <mergeCell ref="C17:C18"/>
    <mergeCell ref="A20:C2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67" orientation="landscape" useFirstPageNumber="1" r:id="rId1"/>
  <headerFooter>
    <oddFooter>&amp;L&amp;P&amp;R&amp;24 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3">
    <tabColor rgb="FF92D050"/>
  </sheetPr>
  <dimension ref="A1:Y81"/>
  <sheetViews>
    <sheetView view="pageBreakPreview" zoomScale="55" zoomScaleNormal="55" zoomScaleSheetLayoutView="55" zoomScalePageLayoutView="85" workbookViewId="0">
      <selection activeCell="H8" sqref="H8"/>
    </sheetView>
  </sheetViews>
  <sheetFormatPr defaultColWidth="9.140625" defaultRowHeight="21"/>
  <cols>
    <col min="1" max="1" width="6.140625" style="239" customWidth="1"/>
    <col min="2" max="2" width="7.7109375" style="184" customWidth="1"/>
    <col min="3" max="3" width="51.140625" style="73" customWidth="1"/>
    <col min="4" max="4" width="19.5703125" style="2041" bestFit="1" customWidth="1"/>
    <col min="5" max="5" width="7.7109375" style="239" customWidth="1"/>
    <col min="6" max="6" width="25.7109375" style="169" customWidth="1"/>
    <col min="7" max="7" width="7.7109375" style="184" customWidth="1"/>
    <col min="8" max="8" width="80.7109375" style="169" customWidth="1"/>
    <col min="9" max="9" width="7.7109375" style="169" customWidth="1"/>
    <col min="10" max="12" width="9.140625" style="169"/>
    <col min="13" max="15" width="9.140625" style="169" hidden="1" customWidth="1"/>
    <col min="16" max="16" width="2.140625" style="169" customWidth="1"/>
    <col min="17" max="17" width="66.5703125" style="169" customWidth="1"/>
    <col min="18" max="18" width="29.42578125" style="169" customWidth="1"/>
    <col min="19" max="21" width="9.140625" style="169"/>
    <col min="22" max="22" width="52" style="169" customWidth="1"/>
    <col min="23" max="16384" width="9.140625" style="169"/>
  </cols>
  <sheetData>
    <row r="1" spans="1:25" ht="30" customHeight="1">
      <c r="B1" s="196"/>
      <c r="C1" s="1150"/>
      <c r="D1" s="2031"/>
      <c r="E1" s="197"/>
      <c r="F1" s="197"/>
      <c r="G1" s="196"/>
      <c r="H1" s="2674" t="s">
        <v>198</v>
      </c>
      <c r="I1" s="2674"/>
      <c r="J1" s="197"/>
      <c r="M1" s="114" t="e">
        <f>VLOOKUP(L1,$O$1:$P$28,2,0)</f>
        <v>#N/A</v>
      </c>
      <c r="O1" s="169" t="s">
        <v>9</v>
      </c>
      <c r="P1" s="1624"/>
      <c r="Q1" s="669"/>
      <c r="R1" s="669"/>
      <c r="S1" s="669"/>
      <c r="T1" s="669"/>
      <c r="U1" s="669"/>
      <c r="V1" s="669"/>
      <c r="W1" s="669"/>
      <c r="X1" s="669"/>
      <c r="Y1" s="669"/>
    </row>
    <row r="2" spans="1:25" s="185" customFormat="1" ht="30" customHeight="1">
      <c r="A2" s="239"/>
      <c r="C2" s="580"/>
      <c r="D2" s="2032"/>
      <c r="E2" s="581"/>
      <c r="F2" s="197"/>
      <c r="G2" s="196"/>
      <c r="H2" s="2674"/>
      <c r="I2" s="2674"/>
      <c r="J2" s="197"/>
      <c r="M2" s="114"/>
      <c r="P2" s="1624"/>
      <c r="Q2" s="669"/>
      <c r="R2" s="669"/>
      <c r="S2" s="669"/>
      <c r="T2" s="669"/>
      <c r="U2" s="669"/>
      <c r="V2" s="669"/>
      <c r="W2" s="669"/>
      <c r="X2" s="669"/>
      <c r="Y2" s="669"/>
    </row>
    <row r="3" spans="1:25" ht="30" customHeight="1">
      <c r="B3" s="199" t="s">
        <v>5</v>
      </c>
      <c r="C3" s="200" t="s">
        <v>193</v>
      </c>
      <c r="D3" s="2033"/>
      <c r="E3" s="197"/>
      <c r="F3" s="197"/>
      <c r="G3" s="195" t="s">
        <v>63</v>
      </c>
      <c r="H3" s="245" t="s">
        <v>194</v>
      </c>
      <c r="I3" s="2042"/>
      <c r="J3" s="194"/>
      <c r="O3" s="169" t="s">
        <v>8</v>
      </c>
      <c r="P3" s="1624"/>
      <c r="Q3" s="201"/>
      <c r="R3" s="202"/>
      <c r="S3" s="581"/>
      <c r="T3" s="581"/>
      <c r="U3" s="1707"/>
      <c r="V3" s="201"/>
      <c r="W3" s="669"/>
      <c r="X3" s="669"/>
      <c r="Y3" s="669"/>
    </row>
    <row r="4" spans="1:25" s="34" customFormat="1" ht="30" customHeight="1">
      <c r="B4" s="191"/>
      <c r="C4" s="190" t="s">
        <v>1729</v>
      </c>
      <c r="D4" s="2039"/>
      <c r="E4" s="193"/>
      <c r="F4" s="192"/>
      <c r="H4" s="203" t="s">
        <v>639</v>
      </c>
      <c r="I4" s="2037"/>
      <c r="J4" s="192"/>
      <c r="P4" s="752"/>
      <c r="S4" s="193"/>
      <c r="T4" s="753"/>
      <c r="U4" s="1706"/>
      <c r="V4" s="1704"/>
      <c r="W4" s="752"/>
      <c r="X4" s="752"/>
      <c r="Y4" s="752"/>
    </row>
    <row r="5" spans="1:25" s="34" customFormat="1" ht="30" customHeight="1">
      <c r="B5" s="191"/>
      <c r="C5" s="1839" t="s">
        <v>909</v>
      </c>
      <c r="D5" s="2037" t="s">
        <v>1948</v>
      </c>
      <c r="E5" s="193"/>
      <c r="F5" s="192"/>
      <c r="H5" s="203" t="s">
        <v>1000</v>
      </c>
      <c r="I5" s="2040"/>
      <c r="J5" s="192"/>
      <c r="P5" s="1709"/>
      <c r="T5" s="753"/>
      <c r="U5" s="1708"/>
      <c r="V5" s="1705"/>
      <c r="W5" s="752"/>
      <c r="X5" s="752"/>
      <c r="Y5" s="752"/>
    </row>
    <row r="6" spans="1:25" s="34" customFormat="1" ht="30" customHeight="1">
      <c r="B6" s="191"/>
      <c r="C6" s="203" t="s">
        <v>1159</v>
      </c>
      <c r="D6" s="2037" t="s">
        <v>1948</v>
      </c>
      <c r="E6" s="193"/>
      <c r="F6" s="192"/>
      <c r="H6" s="203" t="s">
        <v>303</v>
      </c>
      <c r="I6" s="2040"/>
      <c r="J6" s="192"/>
      <c r="P6" s="752"/>
      <c r="T6" s="753"/>
      <c r="U6" s="1706"/>
      <c r="V6" s="1706"/>
      <c r="W6" s="752"/>
      <c r="X6" s="752"/>
      <c r="Y6" s="752"/>
    </row>
    <row r="7" spans="1:25" s="34" customFormat="1" ht="30" customHeight="1">
      <c r="B7" s="191"/>
      <c r="C7" s="1839" t="s">
        <v>910</v>
      </c>
      <c r="D7" s="2037" t="s">
        <v>1948</v>
      </c>
      <c r="F7" s="192"/>
      <c r="H7" s="203" t="s">
        <v>833</v>
      </c>
      <c r="I7" s="2040"/>
      <c r="J7" s="192"/>
      <c r="P7" s="752"/>
      <c r="T7" s="753"/>
      <c r="U7" s="1708"/>
      <c r="V7" s="190"/>
      <c r="W7" s="752"/>
      <c r="X7" s="752"/>
      <c r="Y7" s="752"/>
    </row>
    <row r="8" spans="1:25" s="34" customFormat="1" ht="30" customHeight="1">
      <c r="B8" s="191"/>
      <c r="C8" s="1839" t="s">
        <v>1078</v>
      </c>
      <c r="D8" s="2040" t="s">
        <v>160</v>
      </c>
      <c r="F8" s="192"/>
      <c r="H8" s="1929" t="s">
        <v>1840</v>
      </c>
      <c r="I8" s="2040"/>
      <c r="J8" s="192"/>
      <c r="P8" s="752"/>
      <c r="S8" s="193"/>
      <c r="T8" s="753"/>
      <c r="U8" s="362"/>
      <c r="V8" s="1705"/>
      <c r="W8" s="752"/>
      <c r="X8" s="752"/>
      <c r="Y8" s="752"/>
    </row>
    <row r="9" spans="1:25" s="34" customFormat="1" ht="30" customHeight="1">
      <c r="B9" s="191"/>
      <c r="C9" s="1839" t="s">
        <v>1077</v>
      </c>
      <c r="D9" s="2040" t="s">
        <v>529</v>
      </c>
      <c r="E9" s="193"/>
      <c r="F9" s="192"/>
      <c r="P9" s="752"/>
      <c r="Q9" s="1704"/>
      <c r="R9" s="193"/>
      <c r="S9" s="193"/>
      <c r="T9" s="753"/>
      <c r="U9" s="1708"/>
      <c r="V9" s="1705"/>
      <c r="W9" s="752"/>
      <c r="X9" s="752"/>
      <c r="Y9" s="752"/>
    </row>
    <row r="10" spans="1:25" s="34" customFormat="1" ht="30" customHeight="1">
      <c r="B10" s="191"/>
      <c r="D10" s="2038"/>
      <c r="E10" s="193"/>
      <c r="F10" s="192"/>
      <c r="P10" s="752"/>
      <c r="Q10" s="1704"/>
      <c r="R10" s="193"/>
      <c r="S10" s="193"/>
      <c r="T10" s="753"/>
      <c r="U10" s="1706"/>
      <c r="V10" s="1706"/>
      <c r="W10" s="752"/>
      <c r="X10" s="752"/>
      <c r="Y10" s="752"/>
    </row>
    <row r="11" spans="1:25" s="34" customFormat="1" ht="30" customHeight="1">
      <c r="B11" s="191"/>
      <c r="C11" s="189" t="s">
        <v>1728</v>
      </c>
      <c r="D11" s="2039"/>
      <c r="E11" s="193"/>
      <c r="F11" s="192"/>
      <c r="I11" s="2039"/>
      <c r="J11" s="192"/>
      <c r="P11" s="752"/>
      <c r="Q11" s="190"/>
      <c r="R11" s="753"/>
      <c r="S11" s="202"/>
      <c r="T11" s="202"/>
      <c r="U11" s="1708"/>
      <c r="V11" s="190"/>
      <c r="W11" s="752"/>
      <c r="X11" s="752"/>
      <c r="Y11" s="752"/>
    </row>
    <row r="12" spans="1:25" s="34" customFormat="1" ht="30" customHeight="1">
      <c r="B12" s="191"/>
      <c r="C12" s="204" t="s">
        <v>1754</v>
      </c>
      <c r="D12" s="2037" t="s">
        <v>160</v>
      </c>
      <c r="E12" s="193"/>
      <c r="F12" s="192"/>
      <c r="G12" s="1708" t="s">
        <v>64</v>
      </c>
      <c r="H12" s="190" t="s">
        <v>192</v>
      </c>
      <c r="I12" s="2037"/>
      <c r="J12" s="192"/>
      <c r="P12" s="752"/>
      <c r="Q12" s="1704"/>
      <c r="R12" s="193"/>
      <c r="S12" s="193"/>
      <c r="T12" s="753"/>
      <c r="U12" s="1712"/>
      <c r="V12" s="1706"/>
      <c r="W12" s="752"/>
      <c r="X12" s="752"/>
      <c r="Y12" s="752"/>
    </row>
    <row r="13" spans="1:25" s="34" customFormat="1" ht="30" customHeight="1">
      <c r="B13" s="191"/>
      <c r="C13" s="204" t="s">
        <v>1230</v>
      </c>
      <c r="D13" s="2037" t="s">
        <v>160</v>
      </c>
      <c r="E13" s="193"/>
      <c r="F13" s="192"/>
      <c r="H13" s="1930" t="s">
        <v>1970</v>
      </c>
      <c r="I13" s="2037"/>
      <c r="J13" s="192"/>
      <c r="P13" s="752"/>
      <c r="Q13" s="1704"/>
      <c r="R13" s="193"/>
      <c r="S13" s="193"/>
      <c r="T13" s="753"/>
      <c r="U13" s="1712"/>
      <c r="V13" s="1706"/>
      <c r="W13" s="752"/>
      <c r="X13" s="752"/>
      <c r="Y13" s="752"/>
    </row>
    <row r="14" spans="1:25" s="34" customFormat="1" ht="30" customHeight="1">
      <c r="B14" s="191"/>
      <c r="C14" s="1929" t="s">
        <v>1903</v>
      </c>
      <c r="D14" s="2037" t="s">
        <v>160</v>
      </c>
      <c r="E14" s="193"/>
      <c r="F14" s="192"/>
      <c r="H14" s="1930" t="s">
        <v>1969</v>
      </c>
      <c r="I14" s="2037"/>
      <c r="J14" s="192"/>
      <c r="P14" s="752"/>
      <c r="Q14" s="1704"/>
      <c r="R14" s="193"/>
      <c r="S14" s="193"/>
      <c r="T14" s="753"/>
      <c r="U14" s="1712"/>
      <c r="V14" s="1706"/>
      <c r="W14" s="752"/>
      <c r="X14" s="752"/>
      <c r="Y14" s="752"/>
    </row>
    <row r="15" spans="1:25" s="34" customFormat="1" ht="30" customHeight="1">
      <c r="B15" s="191"/>
      <c r="C15" s="207" t="s">
        <v>544</v>
      </c>
      <c r="D15" s="2037" t="s">
        <v>160</v>
      </c>
      <c r="E15" s="193"/>
      <c r="F15" s="192"/>
      <c r="H15" s="1930" t="s">
        <v>1968</v>
      </c>
      <c r="I15" s="2037"/>
      <c r="J15" s="192"/>
      <c r="P15" s="752"/>
      <c r="Q15" s="1711"/>
      <c r="R15" s="193"/>
      <c r="S15" s="193"/>
      <c r="T15" s="753"/>
      <c r="U15" s="1706"/>
      <c r="V15" s="1704"/>
      <c r="W15" s="752"/>
      <c r="X15" s="752"/>
      <c r="Y15" s="752"/>
    </row>
    <row r="16" spans="1:25" s="34" customFormat="1" ht="30" customHeight="1">
      <c r="B16" s="191"/>
      <c r="C16" s="203" t="s">
        <v>1227</v>
      </c>
      <c r="D16" s="2037" t="s">
        <v>160</v>
      </c>
      <c r="E16" s="193"/>
      <c r="F16" s="192"/>
      <c r="P16" s="752"/>
      <c r="Q16" s="1704"/>
      <c r="R16" s="193"/>
      <c r="S16" s="193"/>
      <c r="T16" s="753"/>
      <c r="U16" s="1706"/>
      <c r="V16" s="1704"/>
      <c r="W16" s="752"/>
      <c r="X16" s="752"/>
      <c r="Y16" s="752"/>
    </row>
    <row r="17" spans="2:25" s="34" customFormat="1" ht="30" customHeight="1">
      <c r="B17" s="191"/>
      <c r="C17" s="1929" t="s">
        <v>2084</v>
      </c>
      <c r="D17" s="2037" t="s">
        <v>160</v>
      </c>
      <c r="E17" s="193"/>
      <c r="F17" s="192"/>
      <c r="P17" s="752"/>
      <c r="Q17" s="1704"/>
      <c r="R17" s="193"/>
      <c r="S17" s="193"/>
      <c r="T17" s="753"/>
      <c r="U17" s="1706"/>
      <c r="V17" s="1704"/>
      <c r="W17" s="752"/>
      <c r="X17" s="752"/>
      <c r="Y17" s="752"/>
    </row>
    <row r="18" spans="2:25" s="34" customFormat="1" ht="30" customHeight="1">
      <c r="B18" s="191"/>
      <c r="C18" s="203" t="s">
        <v>1225</v>
      </c>
      <c r="D18" s="2037" t="s">
        <v>160</v>
      </c>
      <c r="E18" s="193"/>
      <c r="F18" s="192"/>
      <c r="G18" s="195" t="s">
        <v>65</v>
      </c>
      <c r="H18" s="190" t="s">
        <v>1951</v>
      </c>
      <c r="J18" s="192"/>
      <c r="P18" s="752"/>
      <c r="Q18" s="1704"/>
      <c r="R18" s="193"/>
      <c r="S18" s="193"/>
      <c r="T18" s="753"/>
      <c r="U18" s="362"/>
      <c r="V18" s="1704"/>
      <c r="W18" s="752"/>
      <c r="X18" s="752"/>
      <c r="Y18" s="752"/>
    </row>
    <row r="19" spans="2:25" s="34" customFormat="1" ht="30" customHeight="1">
      <c r="B19" s="191"/>
      <c r="C19" s="203" t="s">
        <v>1224</v>
      </c>
      <c r="D19" s="2037" t="s">
        <v>160</v>
      </c>
      <c r="E19" s="193"/>
      <c r="F19" s="192"/>
      <c r="H19" s="1930" t="s">
        <v>1964</v>
      </c>
      <c r="I19" s="2037"/>
      <c r="P19" s="752"/>
      <c r="S19" s="193"/>
      <c r="T19" s="753"/>
      <c r="U19" s="1706"/>
      <c r="V19" s="190"/>
      <c r="W19" s="752"/>
      <c r="X19" s="752"/>
      <c r="Y19" s="752"/>
    </row>
    <row r="20" spans="2:25" s="34" customFormat="1" ht="30" customHeight="1">
      <c r="B20" s="191"/>
      <c r="C20" s="204" t="s">
        <v>1618</v>
      </c>
      <c r="D20" s="2037" t="s">
        <v>160</v>
      </c>
      <c r="E20" s="193"/>
      <c r="F20" s="192"/>
      <c r="H20" s="1930" t="s">
        <v>1905</v>
      </c>
      <c r="I20" s="2037"/>
      <c r="J20" s="192"/>
      <c r="P20" s="752"/>
      <c r="Q20" s="1704"/>
      <c r="R20" s="193"/>
      <c r="S20" s="193"/>
      <c r="T20" s="753"/>
      <c r="U20" s="1712"/>
      <c r="V20" s="1706"/>
      <c r="W20" s="752"/>
      <c r="X20" s="752"/>
      <c r="Y20" s="752"/>
    </row>
    <row r="21" spans="2:25" s="34" customFormat="1" ht="30" customHeight="1">
      <c r="B21" s="191"/>
      <c r="C21" s="203" t="s">
        <v>1222</v>
      </c>
      <c r="D21" s="2037" t="s">
        <v>529</v>
      </c>
      <c r="E21" s="193"/>
      <c r="F21" s="192"/>
      <c r="H21" s="1930" t="s">
        <v>1906</v>
      </c>
      <c r="I21" s="2037"/>
      <c r="J21" s="192"/>
      <c r="P21" s="752"/>
      <c r="Q21" s="2184"/>
      <c r="R21" s="193"/>
      <c r="S21" s="193"/>
      <c r="T21" s="753"/>
      <c r="U21" s="1712"/>
      <c r="V21" s="1706"/>
      <c r="W21" s="752"/>
      <c r="X21" s="752"/>
      <c r="Y21" s="752"/>
    </row>
    <row r="22" spans="2:25" s="34" customFormat="1" ht="30" customHeight="1">
      <c r="B22" s="191"/>
      <c r="C22" s="2001"/>
      <c r="D22" s="2039"/>
      <c r="E22" s="193"/>
      <c r="F22" s="192"/>
      <c r="I22" s="2039"/>
      <c r="J22" s="192"/>
      <c r="P22" s="752"/>
      <c r="Q22" s="752"/>
      <c r="R22" s="752"/>
      <c r="S22" s="193"/>
      <c r="T22" s="753"/>
      <c r="U22" s="1712"/>
      <c r="V22" s="1706"/>
      <c r="W22" s="752"/>
      <c r="X22" s="752"/>
      <c r="Y22" s="752"/>
    </row>
    <row r="23" spans="2:25" ht="30" customHeight="1">
      <c r="B23" s="191"/>
      <c r="C23" s="189" t="s">
        <v>1727</v>
      </c>
      <c r="D23" s="2034"/>
      <c r="E23" s="198"/>
      <c r="F23" s="198"/>
      <c r="G23" s="199" t="s">
        <v>6</v>
      </c>
      <c r="H23" s="201" t="s">
        <v>1950</v>
      </c>
      <c r="I23" s="2038"/>
      <c r="J23" s="193"/>
      <c r="O23" s="169" t="s">
        <v>11</v>
      </c>
      <c r="P23" s="1624"/>
      <c r="Q23" s="190"/>
      <c r="R23" s="753"/>
      <c r="S23" s="202"/>
      <c r="T23" s="202"/>
      <c r="U23" s="1708"/>
      <c r="V23" s="1704"/>
      <c r="W23" s="669"/>
      <c r="X23" s="669"/>
      <c r="Y23" s="669"/>
    </row>
    <row r="24" spans="2:25" s="34" customFormat="1" ht="30" customHeight="1">
      <c r="B24" s="191"/>
      <c r="C24" s="203" t="s">
        <v>1568</v>
      </c>
      <c r="D24" s="2035" t="s">
        <v>529</v>
      </c>
      <c r="E24" s="192"/>
      <c r="F24" s="192"/>
      <c r="G24" s="191"/>
      <c r="H24" s="203" t="s">
        <v>505</v>
      </c>
      <c r="I24" s="2037"/>
      <c r="J24" s="193"/>
      <c r="P24" s="1709"/>
      <c r="Q24" s="1704"/>
      <c r="R24" s="194"/>
      <c r="S24" s="753"/>
      <c r="T24" s="753"/>
      <c r="U24" s="1706"/>
      <c r="V24" s="1704"/>
      <c r="W24" s="752"/>
      <c r="X24" s="752"/>
      <c r="Y24" s="752"/>
    </row>
    <row r="25" spans="2:25" s="34" customFormat="1" ht="30" customHeight="1">
      <c r="B25" s="191"/>
      <c r="C25" s="203" t="s">
        <v>1223</v>
      </c>
      <c r="D25" s="2035" t="s">
        <v>529</v>
      </c>
      <c r="E25" s="192"/>
      <c r="F25" s="192"/>
      <c r="G25" s="191"/>
      <c r="H25" s="203" t="s">
        <v>834</v>
      </c>
      <c r="I25" s="2037"/>
      <c r="J25" s="192"/>
      <c r="O25" s="34" t="s">
        <v>12</v>
      </c>
      <c r="P25" s="1709"/>
      <c r="Q25" s="1704"/>
      <c r="R25" s="194"/>
      <c r="S25" s="753"/>
      <c r="T25" s="753"/>
      <c r="U25" s="1708"/>
      <c r="V25" s="1704"/>
      <c r="W25" s="752"/>
      <c r="X25" s="752"/>
      <c r="Y25" s="752"/>
    </row>
    <row r="26" spans="2:25" s="34" customFormat="1" ht="30" customHeight="1">
      <c r="B26" s="191"/>
      <c r="C26" s="203" t="s">
        <v>1567</v>
      </c>
      <c r="D26" s="2036" t="s">
        <v>160</v>
      </c>
      <c r="E26" s="194"/>
      <c r="F26" s="192"/>
      <c r="H26" s="1929" t="s">
        <v>279</v>
      </c>
      <c r="I26" s="2040"/>
      <c r="J26" s="192"/>
      <c r="O26" s="34" t="s">
        <v>13</v>
      </c>
      <c r="P26" s="1709"/>
      <c r="Q26" s="1704"/>
      <c r="R26" s="194"/>
      <c r="S26" s="194"/>
      <c r="T26" s="753"/>
      <c r="U26" s="362"/>
      <c r="V26" s="1704"/>
      <c r="W26" s="752"/>
      <c r="X26" s="752"/>
      <c r="Y26" s="752"/>
    </row>
    <row r="27" spans="2:25" s="34" customFormat="1" ht="30" customHeight="1">
      <c r="B27" s="191"/>
      <c r="C27" s="203" t="s">
        <v>1226</v>
      </c>
      <c r="D27" s="2037" t="s">
        <v>160</v>
      </c>
      <c r="E27" s="193"/>
      <c r="F27" s="192"/>
      <c r="H27" s="1929" t="s">
        <v>1949</v>
      </c>
      <c r="I27" s="2040"/>
      <c r="J27" s="192"/>
      <c r="O27" s="34" t="s">
        <v>14</v>
      </c>
      <c r="P27" s="1709"/>
      <c r="Q27" s="1704"/>
      <c r="R27" s="1710"/>
      <c r="S27" s="193"/>
      <c r="T27" s="753"/>
      <c r="U27" s="362"/>
      <c r="V27" s="1704"/>
      <c r="W27" s="752"/>
      <c r="X27" s="752"/>
      <c r="Y27" s="752"/>
    </row>
    <row r="28" spans="2:25" s="34" customFormat="1" ht="30" customHeight="1">
      <c r="B28" s="191"/>
      <c r="D28" s="2038"/>
      <c r="E28" s="193"/>
      <c r="F28" s="192"/>
      <c r="I28" s="2038"/>
      <c r="J28" s="192"/>
      <c r="O28" s="34" t="s">
        <v>15</v>
      </c>
      <c r="P28" s="1709"/>
      <c r="Q28" s="1706"/>
      <c r="R28" s="193"/>
      <c r="S28" s="193"/>
      <c r="T28" s="753"/>
      <c r="U28" s="1706"/>
      <c r="V28" s="1706"/>
      <c r="W28" s="752"/>
      <c r="X28" s="752"/>
      <c r="Y28" s="752"/>
    </row>
    <row r="29" spans="2:25" s="34" customFormat="1" ht="30" customHeight="1">
      <c r="B29" s="191"/>
      <c r="C29" s="190"/>
      <c r="D29" s="2039"/>
      <c r="E29" s="193"/>
      <c r="F29" s="192"/>
      <c r="G29" s="195" t="s">
        <v>81</v>
      </c>
      <c r="H29" s="190" t="s">
        <v>1504</v>
      </c>
      <c r="I29" s="2038"/>
      <c r="J29" s="194"/>
      <c r="P29" s="752"/>
      <c r="S29" s="193"/>
      <c r="T29" s="753"/>
      <c r="U29" s="362"/>
      <c r="V29" s="190"/>
      <c r="W29" s="752"/>
      <c r="X29" s="752"/>
      <c r="Y29" s="752"/>
    </row>
    <row r="30" spans="2:25" s="34" customFormat="1" ht="30" customHeight="1">
      <c r="B30" s="191"/>
      <c r="C30" s="190" t="s">
        <v>1139</v>
      </c>
      <c r="D30" s="2039"/>
      <c r="E30" s="193"/>
      <c r="F30" s="192"/>
      <c r="G30" s="191"/>
      <c r="H30" s="1840" t="s">
        <v>1530</v>
      </c>
      <c r="I30" s="2037"/>
      <c r="P30" s="752"/>
      <c r="Q30" s="1704"/>
      <c r="R30" s="193"/>
      <c r="S30" s="193"/>
      <c r="T30" s="753"/>
      <c r="U30" s="1708"/>
      <c r="V30" s="1705"/>
      <c r="W30" s="752"/>
      <c r="X30" s="752"/>
      <c r="Y30" s="752"/>
    </row>
    <row r="31" spans="2:25" s="34" customFormat="1" ht="30" customHeight="1">
      <c r="B31" s="191"/>
      <c r="C31" s="203" t="s">
        <v>1079</v>
      </c>
      <c r="D31" s="2037" t="s">
        <v>529</v>
      </c>
      <c r="E31" s="193"/>
      <c r="F31" s="192"/>
      <c r="G31" s="195"/>
      <c r="H31" s="203" t="s">
        <v>1536</v>
      </c>
      <c r="I31" s="2037"/>
      <c r="J31" s="192"/>
      <c r="P31" s="752"/>
      <c r="Q31" s="1704"/>
      <c r="R31" s="193"/>
      <c r="S31" s="193"/>
      <c r="T31" s="753"/>
      <c r="U31" s="1708"/>
      <c r="V31" s="1705"/>
      <c r="W31" s="752"/>
      <c r="X31" s="752"/>
      <c r="Y31" s="752"/>
    </row>
    <row r="32" spans="2:25" s="34" customFormat="1" ht="30" customHeight="1">
      <c r="B32" s="191"/>
      <c r="C32" s="203" t="s">
        <v>1730</v>
      </c>
      <c r="D32" s="2040" t="s">
        <v>160</v>
      </c>
      <c r="E32" s="193"/>
      <c r="F32" s="192"/>
      <c r="G32" s="191"/>
      <c r="I32" s="2039"/>
      <c r="P32" s="752"/>
      <c r="Q32" s="1704"/>
      <c r="R32" s="193"/>
      <c r="S32" s="193"/>
      <c r="T32" s="753"/>
      <c r="U32" s="1708"/>
      <c r="V32" s="1705"/>
      <c r="W32" s="752"/>
      <c r="X32" s="752"/>
      <c r="Y32" s="752"/>
    </row>
    <row r="33" spans="1:25" s="34" customFormat="1" ht="30" customHeight="1">
      <c r="C33" s="580"/>
      <c r="D33" s="2039"/>
      <c r="F33" s="192"/>
      <c r="G33" s="195" t="s">
        <v>82</v>
      </c>
      <c r="H33" s="190" t="s">
        <v>196</v>
      </c>
      <c r="I33" s="2039"/>
      <c r="P33" s="752"/>
      <c r="Q33" s="1704"/>
      <c r="R33" s="193"/>
      <c r="S33" s="193"/>
      <c r="T33" s="753"/>
      <c r="U33" s="1708"/>
      <c r="V33" s="1705"/>
      <c r="W33" s="752"/>
      <c r="X33" s="752"/>
      <c r="Y33" s="752"/>
    </row>
    <row r="34" spans="1:25" s="34" customFormat="1" ht="30" customHeight="1">
      <c r="C34" s="190" t="s">
        <v>1737</v>
      </c>
      <c r="D34" s="2038"/>
      <c r="F34" s="192"/>
      <c r="G34" s="191"/>
      <c r="H34" s="203" t="s">
        <v>832</v>
      </c>
      <c r="I34" s="2037"/>
      <c r="P34" s="752"/>
      <c r="Q34" s="1706"/>
      <c r="R34" s="193"/>
      <c r="S34" s="193"/>
      <c r="T34" s="753"/>
      <c r="U34" s="1706"/>
      <c r="V34" s="1706"/>
      <c r="W34" s="752"/>
      <c r="X34" s="752"/>
      <c r="Y34" s="752"/>
    </row>
    <row r="35" spans="1:25" s="34" customFormat="1" ht="30" customHeight="1">
      <c r="C35" s="1840" t="s">
        <v>1823</v>
      </c>
      <c r="D35" s="2037" t="s">
        <v>160</v>
      </c>
      <c r="F35" s="192"/>
      <c r="G35" s="195"/>
      <c r="H35" s="2077"/>
      <c r="I35" s="2078"/>
      <c r="J35" s="188"/>
      <c r="P35" s="752"/>
      <c r="Q35" s="1706"/>
      <c r="R35" s="193"/>
      <c r="S35" s="193"/>
      <c r="T35" s="753"/>
      <c r="U35" s="1706"/>
      <c r="V35" s="1706"/>
      <c r="W35" s="752"/>
      <c r="X35" s="752"/>
      <c r="Y35" s="752"/>
    </row>
    <row r="36" spans="1:25" s="34" customFormat="1" ht="30" customHeight="1">
      <c r="C36" s="1840" t="s">
        <v>1014</v>
      </c>
      <c r="D36" s="2037"/>
      <c r="F36" s="192"/>
      <c r="G36" s="195" t="s">
        <v>195</v>
      </c>
      <c r="H36" s="207" t="s">
        <v>527</v>
      </c>
      <c r="I36" s="2037"/>
      <c r="P36" s="752"/>
      <c r="Q36" s="1706"/>
      <c r="R36" s="193"/>
      <c r="S36" s="194"/>
      <c r="T36" s="753"/>
      <c r="U36" s="362"/>
      <c r="V36" s="1706"/>
      <c r="W36" s="752"/>
      <c r="X36" s="752"/>
      <c r="Y36" s="752"/>
    </row>
    <row r="37" spans="1:25" s="34" customFormat="1" ht="30" customHeight="1">
      <c r="F37" s="192"/>
      <c r="J37" s="188"/>
      <c r="P37" s="752"/>
      <c r="Q37" s="1706"/>
      <c r="R37" s="193"/>
      <c r="S37" s="193"/>
      <c r="T37" s="753"/>
      <c r="U37" s="1708"/>
      <c r="V37" s="190"/>
      <c r="W37" s="752"/>
      <c r="X37" s="752"/>
      <c r="Y37" s="752"/>
    </row>
    <row r="38" spans="1:25" s="34" customFormat="1" ht="30" customHeight="1">
      <c r="D38" s="2038"/>
      <c r="F38" s="192"/>
      <c r="G38" s="195" t="s">
        <v>1972</v>
      </c>
      <c r="H38" s="2080" t="s">
        <v>1973</v>
      </c>
      <c r="I38" s="2079"/>
      <c r="J38" s="192"/>
      <c r="P38" s="752"/>
      <c r="Q38" s="190"/>
      <c r="R38" s="193"/>
      <c r="S38" s="193"/>
      <c r="T38" s="753"/>
      <c r="U38" s="1706"/>
      <c r="V38" s="1706"/>
      <c r="W38" s="752"/>
      <c r="X38" s="752"/>
      <c r="Y38" s="752"/>
    </row>
    <row r="39" spans="1:25" s="34" customFormat="1" ht="30" customHeight="1">
      <c r="D39" s="2038"/>
      <c r="F39" s="192"/>
      <c r="I39" s="2042"/>
      <c r="J39" s="192"/>
      <c r="P39" s="752"/>
      <c r="Q39" s="1706"/>
      <c r="R39" s="193"/>
      <c r="S39" s="193"/>
      <c r="T39" s="753"/>
      <c r="U39" s="1706"/>
      <c r="V39" s="1706"/>
      <c r="W39" s="752"/>
      <c r="X39" s="752"/>
      <c r="Y39" s="752"/>
    </row>
    <row r="40" spans="1:25" s="34" customFormat="1" ht="30" customHeight="1">
      <c r="B40" s="752"/>
      <c r="D40" s="2038"/>
      <c r="F40" s="192"/>
      <c r="I40" s="2042"/>
      <c r="J40" s="753"/>
      <c r="P40" s="752"/>
      <c r="Q40" s="1706"/>
      <c r="R40" s="193"/>
      <c r="S40" s="193"/>
      <c r="T40" s="753"/>
      <c r="U40" s="1706"/>
      <c r="V40" s="1706"/>
      <c r="W40" s="752"/>
      <c r="X40" s="752"/>
      <c r="Y40" s="752"/>
    </row>
    <row r="41" spans="1:25" ht="30" customHeight="1">
      <c r="A41" s="1279"/>
      <c r="B41" s="2675" t="s">
        <v>952</v>
      </c>
      <c r="C41" s="2675"/>
      <c r="D41" s="2675"/>
      <c r="E41" s="2675"/>
      <c r="F41" s="2675"/>
      <c r="G41" s="2675"/>
      <c r="H41" s="2675"/>
      <c r="I41" s="2675"/>
      <c r="J41" s="2676"/>
      <c r="P41" s="669"/>
      <c r="Q41" s="669"/>
      <c r="R41" s="669"/>
      <c r="S41" s="669"/>
      <c r="T41" s="669"/>
      <c r="U41" s="669"/>
      <c r="V41" s="669"/>
      <c r="W41" s="669"/>
      <c r="X41" s="669"/>
      <c r="Y41" s="669"/>
    </row>
    <row r="42" spans="1:25" s="183" customFormat="1" ht="30" customHeight="1">
      <c r="A42" s="239"/>
      <c r="B42" s="362"/>
      <c r="C42" s="73"/>
      <c r="D42" s="2041"/>
      <c r="F42" s="188"/>
      <c r="G42" s="184"/>
      <c r="H42" s="73"/>
      <c r="I42" s="2041"/>
      <c r="J42" s="188"/>
      <c r="P42" s="669"/>
      <c r="Q42" s="669"/>
      <c r="R42" s="669"/>
      <c r="S42" s="669"/>
      <c r="T42" s="669"/>
      <c r="U42" s="669"/>
      <c r="V42" s="669"/>
      <c r="W42" s="669"/>
      <c r="X42" s="669"/>
      <c r="Y42" s="669"/>
    </row>
    <row r="43" spans="1:25" ht="30" customHeight="1">
      <c r="B43" s="169"/>
      <c r="C43" s="169"/>
      <c r="D43" s="169"/>
      <c r="E43" s="188"/>
      <c r="F43" s="188"/>
      <c r="G43" s="186"/>
      <c r="H43" s="188"/>
      <c r="I43" s="187"/>
      <c r="J43" s="188"/>
      <c r="P43" s="669"/>
      <c r="Q43" s="669"/>
      <c r="R43" s="669"/>
      <c r="S43" s="669"/>
      <c r="T43" s="669"/>
      <c r="U43" s="669"/>
      <c r="V43" s="669"/>
      <c r="W43" s="669"/>
      <c r="X43" s="669"/>
      <c r="Y43" s="669"/>
    </row>
    <row r="44" spans="1:25" s="183" customFormat="1" ht="30" customHeight="1">
      <c r="A44" s="239"/>
      <c r="E44" s="188"/>
      <c r="F44" s="188"/>
      <c r="G44" s="186"/>
      <c r="H44" s="188"/>
      <c r="I44" s="187"/>
      <c r="J44" s="187"/>
    </row>
    <row r="45" spans="1:25" s="183" customFormat="1" ht="30" customHeight="1">
      <c r="A45" s="239"/>
      <c r="E45" s="188"/>
      <c r="F45" s="188"/>
      <c r="G45" s="186"/>
      <c r="H45" s="187"/>
      <c r="I45" s="187"/>
      <c r="J45" s="187"/>
    </row>
    <row r="46" spans="1:25" ht="30" customHeight="1">
      <c r="B46" s="169"/>
      <c r="C46" s="169"/>
      <c r="D46" s="169"/>
      <c r="E46" s="188"/>
      <c r="F46" s="188"/>
      <c r="G46" s="186"/>
      <c r="I46" s="187"/>
      <c r="J46" s="187"/>
    </row>
    <row r="47" spans="1:25" ht="30" customHeight="1">
      <c r="B47" s="169"/>
      <c r="C47" s="169"/>
      <c r="D47" s="169"/>
      <c r="E47" s="188"/>
      <c r="F47" s="187"/>
      <c r="G47" s="191"/>
      <c r="J47" s="187"/>
    </row>
    <row r="48" spans="1:25" ht="24.95" customHeight="1">
      <c r="B48" s="169"/>
      <c r="C48" s="169"/>
      <c r="D48" s="169"/>
      <c r="E48" s="187"/>
      <c r="F48" s="187"/>
      <c r="G48" s="191"/>
      <c r="J48" s="187"/>
    </row>
    <row r="49" spans="1:10" ht="24.95" customHeight="1">
      <c r="B49" s="169"/>
      <c r="C49" s="169"/>
      <c r="D49" s="169"/>
      <c r="E49" s="187"/>
      <c r="F49" s="187"/>
      <c r="G49" s="34"/>
      <c r="J49" s="187"/>
    </row>
    <row r="50" spans="1:10" ht="24.95" customHeight="1">
      <c r="B50" s="169"/>
      <c r="C50" s="169"/>
      <c r="D50" s="169"/>
      <c r="E50" s="187"/>
      <c r="F50" s="187"/>
      <c r="G50" s="199"/>
      <c r="H50" s="34"/>
      <c r="I50" s="202"/>
      <c r="J50" s="187"/>
    </row>
    <row r="51" spans="1:10" ht="24.95" customHeight="1">
      <c r="B51" s="169"/>
      <c r="C51" s="169"/>
      <c r="D51" s="169"/>
      <c r="E51" s="187"/>
      <c r="F51" s="187"/>
      <c r="G51" s="169"/>
      <c r="I51" s="193"/>
      <c r="J51" s="187"/>
    </row>
    <row r="52" spans="1:10" ht="24.95" customHeight="1">
      <c r="B52" s="169"/>
      <c r="C52" s="169"/>
      <c r="D52" s="169"/>
      <c r="E52" s="187"/>
      <c r="F52" s="187"/>
      <c r="G52" s="169"/>
      <c r="I52" s="206"/>
      <c r="J52" s="187"/>
    </row>
    <row r="53" spans="1:10" ht="24.95" customHeight="1">
      <c r="B53" s="169"/>
      <c r="C53" s="169"/>
      <c r="D53" s="169"/>
      <c r="E53" s="187"/>
      <c r="F53" s="187"/>
      <c r="G53" s="169"/>
      <c r="I53" s="206"/>
      <c r="J53" s="187"/>
    </row>
    <row r="54" spans="1:10" s="183" customFormat="1" ht="24.95" customHeight="1">
      <c r="A54" s="239"/>
      <c r="E54" s="187"/>
      <c r="F54" s="187"/>
      <c r="I54" s="206"/>
      <c r="J54" s="169"/>
    </row>
    <row r="55" spans="1:10" ht="24.95" customHeight="1">
      <c r="B55" s="169"/>
      <c r="C55" s="169"/>
      <c r="D55" s="169"/>
      <c r="E55" s="187"/>
      <c r="F55" s="187"/>
      <c r="G55" s="169"/>
      <c r="I55" s="206"/>
    </row>
    <row r="56" spans="1:10" ht="24.95" customHeight="1">
      <c r="B56" s="169"/>
      <c r="C56" s="169"/>
      <c r="D56" s="169"/>
      <c r="E56" s="187"/>
      <c r="F56" s="187"/>
      <c r="G56" s="34"/>
      <c r="H56" s="580"/>
      <c r="I56" s="193"/>
    </row>
    <row r="57" spans="1:10" ht="24.95" customHeight="1">
      <c r="B57" s="169"/>
      <c r="C57" s="169"/>
      <c r="D57" s="169"/>
      <c r="E57" s="187"/>
    </row>
    <row r="58" spans="1:10" ht="15">
      <c r="B58" s="169"/>
      <c r="C58" s="169"/>
      <c r="D58" s="169"/>
    </row>
    <row r="59" spans="1:10" ht="15">
      <c r="B59" s="169"/>
      <c r="C59" s="169"/>
      <c r="D59" s="169"/>
    </row>
    <row r="60" spans="1:10" ht="15">
      <c r="B60" s="169"/>
      <c r="C60" s="169"/>
      <c r="D60" s="169"/>
    </row>
    <row r="61" spans="1:10" ht="15">
      <c r="B61" s="169"/>
      <c r="C61" s="169"/>
      <c r="D61" s="169"/>
    </row>
    <row r="62" spans="1:10" ht="15">
      <c r="B62" s="169"/>
      <c r="C62" s="169"/>
      <c r="D62" s="169"/>
    </row>
    <row r="63" spans="1:10" ht="15">
      <c r="B63" s="169"/>
      <c r="C63" s="169"/>
      <c r="D63" s="169"/>
    </row>
    <row r="64" spans="1:10" ht="15">
      <c r="B64" s="169"/>
      <c r="C64" s="169"/>
      <c r="D64" s="169"/>
    </row>
    <row r="65" spans="2:4" ht="15">
      <c r="B65" s="169"/>
      <c r="C65" s="169"/>
      <c r="D65" s="169"/>
    </row>
    <row r="66" spans="2:4" ht="15">
      <c r="B66" s="169"/>
      <c r="C66" s="169"/>
      <c r="D66" s="169"/>
    </row>
    <row r="67" spans="2:4" ht="15">
      <c r="B67" s="169"/>
      <c r="C67" s="169"/>
      <c r="D67" s="169"/>
    </row>
    <row r="68" spans="2:4" ht="15">
      <c r="B68" s="169"/>
      <c r="C68" s="169"/>
      <c r="D68" s="169"/>
    </row>
    <row r="69" spans="2:4" ht="15">
      <c r="B69" s="169"/>
      <c r="C69" s="169"/>
      <c r="D69" s="169"/>
    </row>
    <row r="70" spans="2:4" ht="15">
      <c r="B70" s="169"/>
      <c r="C70" s="169"/>
      <c r="D70" s="169"/>
    </row>
    <row r="71" spans="2:4" ht="15">
      <c r="B71" s="169"/>
      <c r="C71" s="169"/>
      <c r="D71" s="169"/>
    </row>
    <row r="72" spans="2:4" ht="15">
      <c r="B72" s="169"/>
      <c r="C72" s="169"/>
      <c r="D72" s="169"/>
    </row>
    <row r="73" spans="2:4" ht="15">
      <c r="B73" s="169"/>
      <c r="C73" s="169"/>
      <c r="D73" s="169"/>
    </row>
    <row r="74" spans="2:4" ht="15">
      <c r="B74" s="169"/>
      <c r="C74" s="169"/>
      <c r="D74" s="169"/>
    </row>
    <row r="75" spans="2:4" ht="15">
      <c r="B75" s="169"/>
      <c r="C75" s="169"/>
      <c r="D75" s="169"/>
    </row>
    <row r="76" spans="2:4" ht="15">
      <c r="B76" s="169"/>
      <c r="C76" s="169"/>
      <c r="D76" s="169"/>
    </row>
    <row r="77" spans="2:4" ht="15">
      <c r="B77" s="169"/>
      <c r="C77" s="169"/>
      <c r="D77" s="169"/>
    </row>
    <row r="78" spans="2:4" ht="15">
      <c r="B78" s="169"/>
      <c r="C78" s="169"/>
      <c r="D78" s="169"/>
    </row>
    <row r="79" spans="2:4" ht="15">
      <c r="B79" s="169"/>
      <c r="C79" s="169"/>
      <c r="D79" s="169"/>
    </row>
    <row r="80" spans="2:4" ht="15">
      <c r="B80" s="169"/>
      <c r="C80" s="169"/>
      <c r="D80" s="169"/>
    </row>
    <row r="81" spans="2:4" ht="15">
      <c r="B81" s="169"/>
      <c r="C81" s="169"/>
      <c r="D81" s="169"/>
    </row>
  </sheetData>
  <mergeCells count="2">
    <mergeCell ref="H1:I2"/>
    <mergeCell ref="B41:J41"/>
  </mergeCells>
  <hyperlinks>
    <hyperlink ref="C24" location="'Classic Rimini '!A1" display="Коллекция Сlassic Rimini"/>
    <hyperlink ref="C12" location="Fusion_Plainе!A1" display="Коллекция Fusion Plainе"/>
    <hyperlink ref="H3" location="Погонаж!A1" display="ПОГОНАЖНЫЕ ИЗДЕЛИЯ"/>
    <hyperlink ref="H13" location="Corsa_Race!A1" display="Перегородки Corsa"/>
    <hyperlink ref="H15" location="Grazia!A1" display="Перегородки Grazia"/>
    <hyperlink ref="H7" location="Стык.элементы!A1" display="Стыковочные  элементы"/>
    <hyperlink ref="H34" location="Покрытия_шпон_эмаль!A1" display="Покрытия: ШПОН, ЭМАЛЬ"/>
    <hyperlink ref="H31" location="'Прочее наценки'!A1" display="ПРОЧИЕ НАЦЕНКИ"/>
    <hyperlink ref="H24" location="'Стен. панели'!A1" display="Стеновые панели"/>
    <hyperlink ref="H4" location="Погонаж!A1" display="Погонаж (L)"/>
    <hyperlink ref="H8" location="Плинтусы!R1C1" display="Плинтусы"/>
    <hyperlink ref="H26" location="Рейки!R1C1" display="Рейки"/>
    <hyperlink ref="H27" location="Порталы!A1" display="ПОРТАЛЫ: КОЛОННЫ И КАРНИЗЫ"/>
    <hyperlink ref="H6" location="'Погонаж для прочих'!Print_Area" display="Погонаж для прочих изделий"/>
    <hyperlink ref="H36" location="'Рекламная продукция'!Print_Area" display="РЕКЛАМНАЯ ПРОДУКЦИЯ"/>
    <hyperlink ref="C27" location="'Provеnce Amelia'!A1" display="Коллекция Provence Amelia"/>
    <hyperlink ref="C16" location="'Provеnce Sienna'!A1" display="Коллекция Provence Sienna"/>
    <hyperlink ref="H21" location="Steel_Meta_Frame!A1" display="Алюминиевые перегородки Meta"/>
    <hyperlink ref="C15" location="Elegance!A1" display="Коллекция Elegance"/>
    <hyperlink ref="H25" location="Фрамуги_накладки!A1" display="Фрамуги и накладки"/>
    <hyperlink ref="C26" location="'E-Classic'!A1" display="Коллекция E-classiс"/>
    <hyperlink ref="C19" location="'Modern Bergamo'!A1" display="Коллекция Modern Bergamo"/>
    <hyperlink ref="C18" location="'Modern Turin'!A1" display="Коллекция Modern Turin"/>
    <hyperlink ref="C13" location="Fusion!A1" display="Коллекция Fusion"/>
    <hyperlink ref="H5" location="Алюм.погонаж!A1" display="Погонаж алюминиевый"/>
    <hyperlink ref="C25" location="'Classic Rosso'!A1" display="Коллекция Сlassic Rosso"/>
    <hyperlink ref="C21" location="Neoclassic!A1" display="Коллекция Neoclassic"/>
    <hyperlink ref="C14" location="Eclectica_Stripe!R1C1" display="Коллекция Eclectica Stripe"/>
    <hyperlink ref="C20" location="Eclectica_Belluno!A1" display="Коллекция Eclectica Belluno"/>
    <hyperlink ref="H14" location="Corsa_Race!A1" display="Перегородки Race"/>
    <hyperlink ref="H20" location="Steel_Meta_Frame!A1" display="Алюминиевые перегородки Steel"/>
    <hyperlink ref="C9" location="Standart!R1C1" display="Коллекция Standart"/>
    <hyperlink ref="C35" location="Louver!A1" display="Жалюзийные двери Louver"/>
    <hyperlink ref="C7" location="Techno_Vetro!R1C1" display="Коллекция Techno Vetro"/>
    <hyperlink ref="C8" location="Twist!R1C1" display="Коллекция Twist"/>
    <hyperlink ref="C31" location="Design!R1C1" display="Коллекция Design"/>
    <hyperlink ref="C5" location="Techno_Porte!R1C1" display="Коллекция Techno Porte"/>
    <hyperlink ref="C6" location="Techno_Slot!R1C1" display="Коллекция Techno Slot"/>
    <hyperlink ref="H19" location="Steel_Meta_Frame!A1" display="Алюминиевые двери Frame"/>
    <hyperlink ref="C32" location="'E-Design'!R1C1" display="Коллекция E-Design "/>
    <hyperlink ref="C36" location="'Двери для обьектов'!R1C1" display="Двери для объектов"/>
    <hyperlink ref="H30" location="'Наценки за габариты'!R1C1" display="Наценки за габариты"/>
    <hyperlink ref="H38" location="Комплекты!A1" display="СТОИМОСТЬ ЗА КОМПЛЕКТ"/>
    <hyperlink ref="C17" location="'Provеnce Savona'!A1" display="Коллекция Provence Savona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0">
    <tabColor rgb="FF00B0F0"/>
  </sheetPr>
  <dimension ref="A1:BP72"/>
  <sheetViews>
    <sheetView zoomScale="80" zoomScaleNormal="80" workbookViewId="0">
      <pane xSplit="4" ySplit="5" topLeftCell="AN6" activePane="bottomRight" state="frozen"/>
      <selection pane="topRight" activeCell="D1" sqref="D1"/>
      <selection pane="bottomLeft" activeCell="A10" sqref="A10"/>
      <selection pane="bottomRight" activeCell="AZ68" sqref="AZ68"/>
    </sheetView>
  </sheetViews>
  <sheetFormatPr defaultColWidth="9.140625" defaultRowHeight="15" outlineLevelRow="1" outlineLevelCol="1"/>
  <cols>
    <col min="1" max="1" width="9.85546875" style="471" hidden="1" customWidth="1" outlineLevel="1"/>
    <col min="2" max="2" width="3.5703125" style="471" customWidth="1" collapsed="1"/>
    <col min="3" max="3" width="9.140625" style="471" hidden="1" customWidth="1" outlineLevel="1"/>
    <col min="4" max="4" width="36" style="471" hidden="1" customWidth="1" outlineLevel="1"/>
    <col min="5" max="5" width="11.5703125" style="300" hidden="1" customWidth="1" outlineLevel="1"/>
    <col min="6" max="6" width="8.28515625" style="300" hidden="1" customWidth="1" outlineLevel="1"/>
    <col min="7" max="7" width="9" style="300" hidden="1" customWidth="1" outlineLevel="1"/>
    <col min="8" max="8" width="11" style="61" hidden="1" customWidth="1" outlineLevel="1"/>
    <col min="9" max="9" width="14.85546875" style="61" hidden="1" customWidth="1" outlineLevel="1"/>
    <col min="10" max="10" width="11" style="61" hidden="1" customWidth="1" outlineLevel="1"/>
    <col min="11" max="11" width="13.85546875" style="453" hidden="1" customWidth="1" outlineLevel="1"/>
    <col min="12" max="12" width="11" style="61" hidden="1" customWidth="1" outlineLevel="1"/>
    <col min="13" max="13" width="13.5703125" style="61" hidden="1" customWidth="1" outlineLevel="1"/>
    <col min="14" max="16" width="11" style="61" hidden="1" customWidth="1" outlineLevel="1"/>
    <col min="17" max="17" width="10.28515625" style="61" hidden="1" customWidth="1" outlineLevel="1"/>
    <col min="18" max="26" width="11" style="61" hidden="1" customWidth="1" outlineLevel="1"/>
    <col min="27" max="27" width="9.85546875" style="453" hidden="1" customWidth="1" outlineLevel="1"/>
    <col min="28" max="28" width="11.5703125" style="61" hidden="1" customWidth="1" outlineLevel="1"/>
    <col min="29" max="32" width="11" style="61" hidden="1" customWidth="1" outlineLevel="1"/>
    <col min="33" max="33" width="11.85546875" style="61" hidden="1" customWidth="1" outlineLevel="1"/>
    <col min="34" max="39" width="11" style="61" hidden="1" customWidth="1" outlineLevel="1"/>
    <col min="40" max="40" width="13.5703125" style="61" hidden="1" customWidth="1" outlineLevel="1"/>
    <col min="41" max="46" width="11" style="61" hidden="1" customWidth="1" outlineLevel="1"/>
    <col min="47" max="47" width="14.85546875" style="61" hidden="1" customWidth="1" outlineLevel="1"/>
    <col min="48" max="49" width="11" style="61" hidden="1" customWidth="1" outlineLevel="1"/>
    <col min="50" max="50" width="13" style="61" hidden="1" customWidth="1" outlineLevel="1"/>
    <col min="51" max="55" width="11" style="61" hidden="1" customWidth="1" outlineLevel="1"/>
    <col min="56" max="56" width="13.28515625" style="61" hidden="1" customWidth="1" outlineLevel="1"/>
    <col min="57" max="57" width="11.140625" style="453" hidden="1" customWidth="1" outlineLevel="1"/>
    <col min="58" max="58" width="11" style="61" hidden="1" customWidth="1" outlineLevel="1"/>
    <col min="59" max="59" width="12.5703125" style="453" hidden="1" customWidth="1" outlineLevel="1"/>
    <col min="60" max="67" width="9.140625" style="453" hidden="1" customWidth="1" outlineLevel="1"/>
    <col min="68" max="68" width="9.140625" style="453" collapsed="1"/>
    <col min="69" max="16384" width="9.140625" style="453"/>
  </cols>
  <sheetData>
    <row r="1" spans="1:59" s="471" customFormat="1">
      <c r="E1" s="300"/>
      <c r="F1" s="300"/>
      <c r="G1" s="300"/>
      <c r="H1" s="454"/>
      <c r="I1" s="454"/>
      <c r="J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61"/>
      <c r="W1" s="454"/>
      <c r="X1" s="454"/>
      <c r="Y1" s="454"/>
      <c r="Z1" s="454"/>
      <c r="AB1" s="61"/>
      <c r="AC1" s="61"/>
      <c r="AD1" s="454"/>
      <c r="AE1" s="454"/>
      <c r="AF1" s="454"/>
      <c r="AG1" s="454"/>
      <c r="AH1" s="454"/>
      <c r="AI1" s="454"/>
      <c r="AJ1" s="454"/>
      <c r="AK1" s="454"/>
      <c r="AL1" s="61"/>
      <c r="AM1" s="61"/>
      <c r="AN1" s="61"/>
      <c r="AO1" s="61"/>
      <c r="AP1" s="61"/>
      <c r="AQ1" s="61"/>
      <c r="AR1" s="61"/>
      <c r="AS1" s="61"/>
      <c r="AT1" s="454"/>
      <c r="AU1" s="61"/>
      <c r="AV1" s="61"/>
      <c r="AW1" s="454"/>
      <c r="AX1" s="61"/>
      <c r="AY1" s="454"/>
      <c r="AZ1" s="454"/>
      <c r="BA1" s="454"/>
      <c r="BB1" s="454"/>
      <c r="BC1" s="454"/>
      <c r="BD1" s="454"/>
      <c r="BF1" s="454"/>
    </row>
    <row r="2" spans="1:59" s="61" customFormat="1">
      <c r="C2" s="2369">
        <v>1.05</v>
      </c>
      <c r="D2" s="1780" t="s">
        <v>2196</v>
      </c>
      <c r="E2" s="583"/>
      <c r="F2" s="583"/>
      <c r="G2" s="584"/>
      <c r="H2" s="454"/>
      <c r="I2" s="454"/>
      <c r="J2" s="454"/>
      <c r="L2" s="454"/>
      <c r="M2" s="454"/>
      <c r="N2" s="454"/>
      <c r="O2" s="454"/>
      <c r="P2" s="454"/>
      <c r="Q2" s="454"/>
      <c r="R2" s="454"/>
      <c r="S2" s="454"/>
      <c r="T2" s="454"/>
      <c r="U2" s="557"/>
      <c r="V2" s="454"/>
      <c r="W2" s="454"/>
      <c r="X2" s="454"/>
      <c r="Y2" s="454"/>
      <c r="Z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>
        <f>AO11-AM11</f>
        <v>2200</v>
      </c>
      <c r="AP2" s="454">
        <f>AP11-AO11</f>
        <v>5700</v>
      </c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</row>
    <row r="3" spans="1:59" s="61" customFormat="1" ht="21">
      <c r="D3" s="1177"/>
      <c r="E3" s="1173"/>
      <c r="F3" s="1173"/>
      <c r="G3" s="584"/>
      <c r="H3" s="454"/>
      <c r="I3" s="454"/>
      <c r="J3" s="557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</row>
    <row r="4" spans="1:59" s="61" customFormat="1">
      <c r="C4" s="1659" t="s">
        <v>2193</v>
      </c>
      <c r="D4" s="1660"/>
      <c r="E4" s="583"/>
      <c r="F4" s="583"/>
      <c r="G4" s="1783"/>
      <c r="H4" s="1390" t="s">
        <v>618</v>
      </c>
      <c r="I4" s="1390" t="s">
        <v>618</v>
      </c>
      <c r="J4" s="1390" t="s">
        <v>618</v>
      </c>
      <c r="K4" s="1170" t="s">
        <v>618</v>
      </c>
      <c r="L4" s="1390" t="s">
        <v>618</v>
      </c>
      <c r="M4" s="1390" t="s">
        <v>618</v>
      </c>
      <c r="N4" s="1390" t="s">
        <v>1621</v>
      </c>
      <c r="O4" s="1390"/>
      <c r="P4" s="1390"/>
      <c r="Q4" s="1390" t="s">
        <v>718</v>
      </c>
      <c r="R4" s="1390" t="s">
        <v>718</v>
      </c>
      <c r="S4" s="1390" t="s">
        <v>621</v>
      </c>
      <c r="T4" s="1390" t="s">
        <v>621</v>
      </c>
      <c r="U4" s="1391" t="s">
        <v>1286</v>
      </c>
      <c r="V4" s="1390" t="s">
        <v>598</v>
      </c>
      <c r="W4" s="1391" t="s">
        <v>1286</v>
      </c>
      <c r="X4" s="1390" t="s">
        <v>1620</v>
      </c>
      <c r="Y4" s="1390" t="s">
        <v>1620</v>
      </c>
      <c r="Z4" s="1390" t="s">
        <v>1620</v>
      </c>
      <c r="AB4" s="1390" t="s">
        <v>1423</v>
      </c>
      <c r="AC4" s="1391"/>
      <c r="AD4" s="1170" t="s">
        <v>1137</v>
      </c>
      <c r="AE4" s="1170" t="s">
        <v>1137</v>
      </c>
      <c r="AF4" s="1170"/>
      <c r="AG4" s="1170"/>
      <c r="AH4" s="1170"/>
      <c r="AI4" s="1170"/>
      <c r="AJ4" s="1170"/>
      <c r="AK4" s="1170"/>
      <c r="AL4" s="1391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61" t="s">
        <v>1765</v>
      </c>
    </row>
    <row r="5" spans="1:59" s="614" customFormat="1" ht="36" hidden="1" outlineLevel="1" collapsed="1">
      <c r="D5" s="587"/>
      <c r="E5" s="1962" t="s">
        <v>1918</v>
      </c>
      <c r="F5" s="1962" t="s">
        <v>1919</v>
      </c>
      <c r="G5" s="1154" t="s">
        <v>927</v>
      </c>
      <c r="H5" s="671" t="s">
        <v>817</v>
      </c>
      <c r="I5" s="615" t="s">
        <v>1252</v>
      </c>
      <c r="J5" s="675" t="s">
        <v>1256</v>
      </c>
      <c r="K5" s="1554" t="s">
        <v>1619</v>
      </c>
      <c r="L5" s="615" t="s">
        <v>1257</v>
      </c>
      <c r="M5" s="615" t="s">
        <v>1269</v>
      </c>
      <c r="N5" s="666" t="s">
        <v>908</v>
      </c>
      <c r="O5" s="671" t="s">
        <v>1924</v>
      </c>
      <c r="P5" s="671" t="s">
        <v>1925</v>
      </c>
      <c r="Q5" s="610" t="s">
        <v>1932</v>
      </c>
      <c r="R5" s="610" t="s">
        <v>1933</v>
      </c>
      <c r="S5" s="1159" t="s">
        <v>1253</v>
      </c>
      <c r="T5" s="610" t="s">
        <v>1250</v>
      </c>
      <c r="U5" s="1159" t="s">
        <v>1254</v>
      </c>
      <c r="V5" s="618" t="s">
        <v>1249</v>
      </c>
      <c r="W5" s="1159" t="s">
        <v>1255</v>
      </c>
      <c r="X5" s="610" t="s">
        <v>1049</v>
      </c>
      <c r="Y5" s="610" t="s">
        <v>1261</v>
      </c>
      <c r="Z5" s="616" t="s">
        <v>1262</v>
      </c>
      <c r="AA5" s="616" t="s">
        <v>2083</v>
      </c>
      <c r="AB5" s="615" t="s">
        <v>1248</v>
      </c>
      <c r="AC5" s="617" t="s">
        <v>1247</v>
      </c>
      <c r="AD5" s="615" t="s">
        <v>1285</v>
      </c>
      <c r="AE5" s="610" t="s">
        <v>807</v>
      </c>
      <c r="AF5" s="615" t="s">
        <v>812</v>
      </c>
      <c r="AG5" s="1153" t="s">
        <v>813</v>
      </c>
      <c r="AH5" s="610" t="s">
        <v>816</v>
      </c>
      <c r="AI5" s="615" t="s">
        <v>814</v>
      </c>
      <c r="AJ5" s="615" t="s">
        <v>815</v>
      </c>
      <c r="AK5" s="615" t="s">
        <v>1251</v>
      </c>
      <c r="AL5" s="620" t="s">
        <v>809</v>
      </c>
      <c r="AM5" s="620" t="s">
        <v>808</v>
      </c>
      <c r="AN5" s="620" t="s">
        <v>810</v>
      </c>
      <c r="AO5" s="620" t="s">
        <v>811</v>
      </c>
      <c r="AP5" s="620" t="s">
        <v>1050</v>
      </c>
      <c r="AQ5" s="620" t="s">
        <v>1051</v>
      </c>
      <c r="AR5" s="620" t="s">
        <v>1279</v>
      </c>
      <c r="AS5" s="620" t="s">
        <v>1280</v>
      </c>
      <c r="AT5" s="615" t="s">
        <v>1138</v>
      </c>
      <c r="AU5" s="610" t="s">
        <v>1258</v>
      </c>
      <c r="AV5" s="610" t="s">
        <v>1622</v>
      </c>
      <c r="AW5" s="1153" t="s">
        <v>1260</v>
      </c>
      <c r="AX5" s="618" t="s">
        <v>1259</v>
      </c>
      <c r="AY5" s="1153" t="s">
        <v>818</v>
      </c>
      <c r="AZ5" s="615" t="s">
        <v>819</v>
      </c>
      <c r="BA5" s="615" t="s">
        <v>1273</v>
      </c>
      <c r="BB5" s="1153" t="s">
        <v>1271</v>
      </c>
      <c r="BC5" s="1153" t="s">
        <v>1263</v>
      </c>
      <c r="BD5" s="1363" t="s">
        <v>1425</v>
      </c>
      <c r="BE5" s="615" t="s">
        <v>1930</v>
      </c>
      <c r="BF5" s="610" t="s">
        <v>1931</v>
      </c>
      <c r="BG5" s="2263" t="s">
        <v>1764</v>
      </c>
    </row>
    <row r="6" spans="1:59" s="614" customFormat="1" ht="36" hidden="1" outlineLevel="1">
      <c r="D6" s="587"/>
      <c r="E6" s="1157"/>
      <c r="F6" s="1174"/>
      <c r="G6" s="1156"/>
      <c r="H6" s="1161"/>
      <c r="I6" s="610" t="s">
        <v>1264</v>
      </c>
      <c r="J6" s="610" t="s">
        <v>1265</v>
      </c>
      <c r="K6" s="610"/>
      <c r="L6" s="610" t="s">
        <v>1268</v>
      </c>
      <c r="M6" s="610" t="s">
        <v>1268</v>
      </c>
      <c r="N6" s="610" t="s">
        <v>1268</v>
      </c>
      <c r="O6" s="1937"/>
      <c r="P6" s="1937"/>
      <c r="Q6" s="610" t="s">
        <v>1266</v>
      </c>
      <c r="R6" s="610" t="s">
        <v>1815</v>
      </c>
      <c r="S6" s="610" t="s">
        <v>1424</v>
      </c>
      <c r="T6" s="610" t="s">
        <v>1267</v>
      </c>
      <c r="U6" s="610"/>
      <c r="V6" s="1162"/>
      <c r="W6" s="1160"/>
      <c r="X6" s="1155"/>
      <c r="Y6" s="1155"/>
      <c r="Z6" s="1171"/>
      <c r="AA6" s="1171"/>
      <c r="AB6" s="1161"/>
      <c r="AC6" s="1163"/>
      <c r="AD6" s="1161"/>
      <c r="AE6" s="1155" t="s">
        <v>1426</v>
      </c>
      <c r="AF6" s="610" t="s">
        <v>1275</v>
      </c>
      <c r="AG6" s="610" t="s">
        <v>1276</v>
      </c>
      <c r="AH6" s="610" t="s">
        <v>1277</v>
      </c>
      <c r="AI6" s="610" t="s">
        <v>1278</v>
      </c>
      <c r="AJ6" s="610" t="s">
        <v>1278</v>
      </c>
      <c r="AK6" s="1161"/>
      <c r="AL6" s="1172"/>
      <c r="AM6" s="1172"/>
      <c r="AN6" s="1172" t="s">
        <v>1921</v>
      </c>
      <c r="AO6" s="1172" t="s">
        <v>1921</v>
      </c>
      <c r="AP6" s="1172" t="s">
        <v>1920</v>
      </c>
      <c r="AQ6" s="1172" t="s">
        <v>1922</v>
      </c>
      <c r="AR6" s="1172" t="s">
        <v>1922</v>
      </c>
      <c r="AS6" s="1172" t="s">
        <v>1923</v>
      </c>
      <c r="AT6" s="1161"/>
      <c r="AU6" s="1155"/>
      <c r="AV6" s="1155" t="s">
        <v>1926</v>
      </c>
      <c r="AW6" s="1155" t="s">
        <v>1927</v>
      </c>
      <c r="AX6" s="1155" t="s">
        <v>1928</v>
      </c>
      <c r="AY6" s="1161" t="s">
        <v>2028</v>
      </c>
      <c r="AZ6" s="1161" t="s">
        <v>1929</v>
      </c>
      <c r="BA6" s="610"/>
      <c r="BB6" s="610" t="s">
        <v>1272</v>
      </c>
      <c r="BC6" s="610" t="s">
        <v>1274</v>
      </c>
      <c r="BD6" s="610" t="s">
        <v>1270</v>
      </c>
      <c r="BE6" s="610"/>
      <c r="BF6" s="1553"/>
      <c r="BG6" s="2264" t="s">
        <v>1766</v>
      </c>
    </row>
    <row r="7" spans="1:59" s="1965" customFormat="1" hidden="1" outlineLevel="1">
      <c r="C7" s="1966"/>
      <c r="D7" s="1967"/>
      <c r="E7" s="1966"/>
      <c r="F7" s="1968"/>
      <c r="G7" s="1969"/>
      <c r="H7" s="1966"/>
      <c r="I7" s="1970">
        <f t="shared" ref="I7:AE7" si="0">CEILING(I42*$C$2, 50)</f>
        <v>1150</v>
      </c>
      <c r="J7" s="1970">
        <f t="shared" si="0"/>
        <v>4750</v>
      </c>
      <c r="K7" s="1970">
        <f t="shared" si="0"/>
        <v>3100</v>
      </c>
      <c r="L7" s="1970">
        <f t="shared" si="0"/>
        <v>0</v>
      </c>
      <c r="M7" s="1970">
        <f t="shared" si="0"/>
        <v>0</v>
      </c>
      <c r="N7" s="1970">
        <f t="shared" si="0"/>
        <v>0</v>
      </c>
      <c r="O7" s="1970">
        <f t="shared" si="0"/>
        <v>9900</v>
      </c>
      <c r="P7" s="1970">
        <f t="shared" si="0"/>
        <v>9900</v>
      </c>
      <c r="Q7" s="1970">
        <f t="shared" si="0"/>
        <v>0</v>
      </c>
      <c r="R7" s="1970">
        <f t="shared" si="0"/>
        <v>0</v>
      </c>
      <c r="S7" s="1970">
        <f t="shared" si="0"/>
        <v>0</v>
      </c>
      <c r="T7" s="1970">
        <f t="shared" si="0"/>
        <v>1150</v>
      </c>
      <c r="U7" s="1970">
        <f t="shared" si="0"/>
        <v>0</v>
      </c>
      <c r="V7" s="1970">
        <f t="shared" si="0"/>
        <v>0</v>
      </c>
      <c r="W7" s="1970">
        <f t="shared" si="0"/>
        <v>0</v>
      </c>
      <c r="X7" s="1970">
        <f t="shared" si="0"/>
        <v>0</v>
      </c>
      <c r="Y7" s="1970">
        <f t="shared" si="0"/>
        <v>0</v>
      </c>
      <c r="Z7" s="1970">
        <f t="shared" si="0"/>
        <v>6250</v>
      </c>
      <c r="AA7" s="1970">
        <f t="shared" si="0"/>
        <v>10500</v>
      </c>
      <c r="AB7" s="1970">
        <f t="shared" si="0"/>
        <v>6250</v>
      </c>
      <c r="AC7" s="1970">
        <f t="shared" si="0"/>
        <v>10950</v>
      </c>
      <c r="AD7" s="1970">
        <f t="shared" si="0"/>
        <v>0</v>
      </c>
      <c r="AE7" s="1970">
        <f t="shared" si="0"/>
        <v>5700</v>
      </c>
      <c r="AF7" s="1979">
        <f>AF42</f>
        <v>-0.1</v>
      </c>
      <c r="AG7" s="1970">
        <f>CEILING(AG42*$C$2, 50)</f>
        <v>6050</v>
      </c>
      <c r="AH7" s="1979">
        <f>AH42</f>
        <v>0.03</v>
      </c>
      <c r="AI7" s="1970">
        <f t="shared" ref="AI7:BG7" si="1">CEILING(AI42*$C$2, 50)</f>
        <v>1100</v>
      </c>
      <c r="AJ7" s="1970">
        <f t="shared" si="1"/>
        <v>1100</v>
      </c>
      <c r="AK7" s="1970">
        <f t="shared" si="1"/>
        <v>0</v>
      </c>
      <c r="AL7" s="1970">
        <f t="shared" si="1"/>
        <v>0</v>
      </c>
      <c r="AM7" s="1970">
        <f t="shared" si="1"/>
        <v>800</v>
      </c>
      <c r="AN7" s="1970">
        <f t="shared" si="1"/>
        <v>800</v>
      </c>
      <c r="AO7" s="1970">
        <f t="shared" si="1"/>
        <v>2200</v>
      </c>
      <c r="AP7" s="1970">
        <f t="shared" si="1"/>
        <v>5700</v>
      </c>
      <c r="AQ7" s="1970">
        <f t="shared" si="1"/>
        <v>0</v>
      </c>
      <c r="AR7" s="1970">
        <f t="shared" si="1"/>
        <v>5500</v>
      </c>
      <c r="AS7" s="1970">
        <f t="shared" si="1"/>
        <v>5500</v>
      </c>
      <c r="AT7" s="1970">
        <f t="shared" si="1"/>
        <v>0</v>
      </c>
      <c r="AU7" s="1970">
        <f t="shared" si="1"/>
        <v>0</v>
      </c>
      <c r="AV7" s="1970">
        <f t="shared" si="1"/>
        <v>5500</v>
      </c>
      <c r="AW7" s="1970">
        <f t="shared" si="1"/>
        <v>8750</v>
      </c>
      <c r="AX7" s="1970">
        <f t="shared" si="1"/>
        <v>5500</v>
      </c>
      <c r="AY7" s="1970">
        <f t="shared" si="1"/>
        <v>16150</v>
      </c>
      <c r="AZ7" s="1970">
        <f t="shared" si="1"/>
        <v>0</v>
      </c>
      <c r="BA7" s="1970">
        <f t="shared" si="1"/>
        <v>0</v>
      </c>
      <c r="BB7" s="1970">
        <f t="shared" si="1"/>
        <v>2350</v>
      </c>
      <c r="BC7" s="1970">
        <f t="shared" si="1"/>
        <v>11200</v>
      </c>
      <c r="BD7" s="1970">
        <f t="shared" si="1"/>
        <v>3300</v>
      </c>
      <c r="BE7" s="1970">
        <f t="shared" si="1"/>
        <v>0</v>
      </c>
      <c r="BF7" s="1970">
        <f t="shared" si="1"/>
        <v>0</v>
      </c>
      <c r="BG7" s="1970">
        <f t="shared" si="1"/>
        <v>0</v>
      </c>
    </row>
    <row r="8" spans="1:59" s="361" customFormat="1" ht="15" hidden="1" customHeight="1" outlineLevel="1">
      <c r="A8" s="1936">
        <f>CEILING(A43*$C$2, 50)</f>
        <v>15200</v>
      </c>
      <c r="B8" s="361">
        <v>1</v>
      </c>
      <c r="C8" s="1941" t="s">
        <v>231</v>
      </c>
      <c r="D8" s="1942" t="str">
        <f>C8</f>
        <v>Грунт</v>
      </c>
      <c r="E8" s="608">
        <v>0.8</v>
      </c>
      <c r="F8" s="1661"/>
      <c r="G8" s="1661"/>
      <c r="H8" s="1960">
        <f>CEILING(H9*E8, 10)</f>
        <v>15200</v>
      </c>
      <c r="I8" s="1165"/>
      <c r="J8" s="1165"/>
      <c r="K8" s="1661"/>
      <c r="L8" s="1165"/>
      <c r="M8" s="1165"/>
      <c r="N8" s="1165">
        <f>N9</f>
        <v>44550</v>
      </c>
      <c r="O8" s="1165">
        <f>A8+$O$7+Алюм.погонаж!E29</f>
        <v>29000</v>
      </c>
      <c r="P8" s="1165">
        <f>O8+P7</f>
        <v>38900</v>
      </c>
      <c r="Q8" s="1165"/>
      <c r="R8" s="1165"/>
      <c r="S8" s="1939"/>
      <c r="T8" s="1165"/>
      <c r="U8" s="1939"/>
      <c r="V8" s="1165"/>
      <c r="W8" s="1939"/>
      <c r="X8" s="1165"/>
      <c r="Y8" s="1165"/>
      <c r="Z8" s="1165"/>
      <c r="AA8" s="1165"/>
      <c r="AB8" s="1165"/>
      <c r="AC8" s="1165"/>
      <c r="AD8" s="1165"/>
      <c r="AE8" s="1165"/>
      <c r="AF8" s="1165"/>
      <c r="AG8" s="1165"/>
      <c r="AH8" s="1165"/>
      <c r="AI8" s="1165"/>
      <c r="AJ8" s="1165"/>
      <c r="AK8" s="1165"/>
      <c r="AL8" s="1164"/>
      <c r="AM8" s="1165"/>
      <c r="AN8" s="1165"/>
      <c r="AO8" s="1165"/>
      <c r="AP8" s="1165"/>
      <c r="AQ8" s="1165"/>
      <c r="AR8" s="1939"/>
      <c r="AS8" s="1939"/>
      <c r="AT8" s="1165"/>
      <c r="AU8" s="1165"/>
      <c r="AV8" s="1165"/>
      <c r="AW8" s="1939"/>
      <c r="AX8" s="1165"/>
      <c r="AY8" s="1165"/>
      <c r="AZ8" s="1165"/>
      <c r="BA8" s="1165"/>
      <c r="BB8" s="1939"/>
      <c r="BC8" s="1939"/>
      <c r="BD8" s="1165"/>
      <c r="BE8" s="1165"/>
      <c r="BF8" s="1940"/>
      <c r="BG8" s="2265">
        <f>CEILING(BG43*$C$2, 50)</f>
        <v>22500</v>
      </c>
    </row>
    <row r="9" spans="1:59" s="1943" customFormat="1" hidden="1" outlineLevel="1">
      <c r="A9" s="1936">
        <f t="shared" ref="A9:A13" si="2">CEILING(A44*$C$2, 50)</f>
        <v>16900</v>
      </c>
      <c r="B9" s="1943">
        <v>4</v>
      </c>
      <c r="C9" s="1944" t="s">
        <v>28</v>
      </c>
      <c r="D9" s="1945" t="s">
        <v>207</v>
      </c>
      <c r="E9" s="1964">
        <v>1</v>
      </c>
      <c r="F9" s="1963">
        <v>1</v>
      </c>
      <c r="G9" s="1946"/>
      <c r="H9" s="933">
        <f>CEILING(H44*$C$2, 50)</f>
        <v>19000</v>
      </c>
      <c r="I9" s="1947">
        <f>H9+I7</f>
        <v>20150</v>
      </c>
      <c r="J9" s="1947">
        <f>H9+J7</f>
        <v>23750</v>
      </c>
      <c r="K9" s="1947">
        <f>H9+K7</f>
        <v>22100</v>
      </c>
      <c r="L9" s="933">
        <f>CEILING(L44*$C$2, 50)</f>
        <v>24300</v>
      </c>
      <c r="M9" s="1947">
        <f>L9+M7</f>
        <v>24300</v>
      </c>
      <c r="N9" s="1947">
        <f>CEILING(P9*1.145, 10)</f>
        <v>44550</v>
      </c>
      <c r="O9" s="1947">
        <f>A9+$O$7+Алюм.погонаж!E29</f>
        <v>30700</v>
      </c>
      <c r="P9" s="1947">
        <f>P8</f>
        <v>38900</v>
      </c>
      <c r="Q9" s="933">
        <f t="shared" ref="Q9:Y9" si="3">CEILING(Q44*$C$2, 50)</f>
        <v>20250</v>
      </c>
      <c r="R9" s="933">
        <f t="shared" si="3"/>
        <v>23200</v>
      </c>
      <c r="S9" s="1158">
        <f t="shared" si="3"/>
        <v>20050</v>
      </c>
      <c r="T9" s="1947">
        <f>S9+T7</f>
        <v>21200</v>
      </c>
      <c r="U9" s="1158">
        <f t="shared" si="3"/>
        <v>23200</v>
      </c>
      <c r="V9" s="933">
        <f t="shared" si="3"/>
        <v>27300</v>
      </c>
      <c r="W9" s="1158">
        <f t="shared" si="3"/>
        <v>35250</v>
      </c>
      <c r="X9" s="933">
        <f t="shared" si="3"/>
        <v>27300</v>
      </c>
      <c r="Y9" s="933">
        <f t="shared" si="3"/>
        <v>30450</v>
      </c>
      <c r="Z9" s="1947">
        <f>X9+Z7</f>
        <v>33550</v>
      </c>
      <c r="AA9" s="1947">
        <f>X9+AA7</f>
        <v>37800</v>
      </c>
      <c r="AB9" s="1947">
        <f>V9+AB7</f>
        <v>33550</v>
      </c>
      <c r="AC9" s="1947">
        <f>V9+AC7</f>
        <v>38250</v>
      </c>
      <c r="AD9" s="933">
        <f t="shared" ref="AD9" si="4">CEILING(AD44*$C$2, 50)</f>
        <v>22850</v>
      </c>
      <c r="AE9" s="1947"/>
      <c r="AF9" s="933">
        <f t="shared" ref="AF9:AH9" si="5">CEILING(AF44*$C$2, 50)</f>
        <v>26300</v>
      </c>
      <c r="AG9" s="933">
        <f t="shared" si="5"/>
        <v>25750</v>
      </c>
      <c r="AH9" s="933">
        <f t="shared" si="5"/>
        <v>28500</v>
      </c>
      <c r="AI9" s="1947"/>
      <c r="AJ9" s="1947"/>
      <c r="AK9" s="933">
        <f t="shared" ref="AK9" si="6">CEILING(AK44*$C$2, 50)</f>
        <v>32900</v>
      </c>
      <c r="AL9" s="1947"/>
      <c r="AM9" s="1947"/>
      <c r="AN9" s="1947"/>
      <c r="AO9" s="1947"/>
      <c r="AP9" s="1947"/>
      <c r="AQ9" s="1947"/>
      <c r="AR9" s="1948"/>
      <c r="AS9" s="1948"/>
      <c r="AT9" s="933">
        <f t="shared" ref="AT9:AU9" si="7">CEILING(AT44*$C$2, 50)</f>
        <v>40000</v>
      </c>
      <c r="AU9" s="933">
        <f t="shared" si="7"/>
        <v>46450</v>
      </c>
      <c r="AV9" s="1947">
        <f>AU9+AV7</f>
        <v>51950</v>
      </c>
      <c r="AW9" s="1947">
        <f>AT9+AW7</f>
        <v>48750</v>
      </c>
      <c r="AX9" s="1947">
        <f>AV9+AX7</f>
        <v>57450</v>
      </c>
      <c r="AY9" s="1947">
        <f>AW9+AY7</f>
        <v>64900</v>
      </c>
      <c r="AZ9" s="1947">
        <f>AY9</f>
        <v>64900</v>
      </c>
      <c r="BA9" s="1947"/>
      <c r="BB9" s="1948"/>
      <c r="BC9" s="933">
        <f>CEILING(BC44*$C$2, 50)</f>
        <v>38750</v>
      </c>
      <c r="BD9" s="933">
        <f>CEILING(BD44*$C$2, 50)</f>
        <v>31250</v>
      </c>
      <c r="BE9" s="933">
        <f>CEILING(BE44*$C$2, 50)</f>
        <v>30750</v>
      </c>
      <c r="BF9" s="1947">
        <f>AV9</f>
        <v>51950</v>
      </c>
      <c r="BG9" s="2266"/>
    </row>
    <row r="10" spans="1:59" s="60" customFormat="1" hidden="1" outlineLevel="1">
      <c r="A10" s="1936">
        <f t="shared" si="2"/>
        <v>18500</v>
      </c>
      <c r="B10" s="60">
        <v>5</v>
      </c>
      <c r="C10" s="619" t="s">
        <v>763</v>
      </c>
      <c r="D10" s="1166" t="s">
        <v>1281</v>
      </c>
      <c r="E10" s="608">
        <v>1.0516587677725118</v>
      </c>
      <c r="F10" s="1176">
        <v>0.93</v>
      </c>
      <c r="G10" s="1167">
        <f>H10/H11-1</f>
        <v>-6.9757174392935939E-2</v>
      </c>
      <c r="H10" s="1169">
        <f>CEILING(H11*$F$10, 10)</f>
        <v>21070</v>
      </c>
      <c r="I10" s="1169">
        <f>H10+I7</f>
        <v>22220</v>
      </c>
      <c r="J10" s="1169">
        <f>H10+J7</f>
        <v>25820</v>
      </c>
      <c r="K10" s="1169">
        <f>H10+K7</f>
        <v>24170</v>
      </c>
      <c r="L10" s="1169">
        <f t="shared" ref="L10:BG10" si="8">CEILING(L11*$F$10, 10)</f>
        <v>26600</v>
      </c>
      <c r="M10" s="1169">
        <f>L10+M7</f>
        <v>26600</v>
      </c>
      <c r="N10" s="1169">
        <f>N9</f>
        <v>44550</v>
      </c>
      <c r="O10" s="1169">
        <f>A10+$O$7+Алюм.погонаж!E29</f>
        <v>32300</v>
      </c>
      <c r="P10" s="1169">
        <f>P8</f>
        <v>38900</v>
      </c>
      <c r="Q10" s="1169">
        <f t="shared" si="8"/>
        <v>0</v>
      </c>
      <c r="R10" s="1169">
        <f t="shared" si="8"/>
        <v>0</v>
      </c>
      <c r="S10" s="1169">
        <f t="shared" si="8"/>
        <v>0</v>
      </c>
      <c r="T10" s="1169">
        <f t="shared" si="8"/>
        <v>0</v>
      </c>
      <c r="U10" s="1169">
        <f t="shared" si="8"/>
        <v>0</v>
      </c>
      <c r="V10" s="1169">
        <f t="shared" si="8"/>
        <v>0</v>
      </c>
      <c r="W10" s="1169">
        <f t="shared" si="8"/>
        <v>0</v>
      </c>
      <c r="X10" s="1169">
        <f t="shared" si="8"/>
        <v>0</v>
      </c>
      <c r="Y10" s="1169">
        <f t="shared" si="8"/>
        <v>0</v>
      </c>
      <c r="Z10" s="1169">
        <f t="shared" si="8"/>
        <v>0</v>
      </c>
      <c r="AA10" s="1169"/>
      <c r="AB10" s="1169">
        <f t="shared" si="8"/>
        <v>0</v>
      </c>
      <c r="AC10" s="1169">
        <f t="shared" si="8"/>
        <v>0</v>
      </c>
      <c r="AD10" s="1169">
        <f t="shared" si="8"/>
        <v>24650</v>
      </c>
      <c r="AE10" s="1169">
        <f>AD10+AE7</f>
        <v>30350</v>
      </c>
      <c r="AF10" s="1169">
        <f t="shared" si="8"/>
        <v>22190</v>
      </c>
      <c r="AG10" s="1169">
        <f>AF10+AG7</f>
        <v>28240</v>
      </c>
      <c r="AH10" s="1169">
        <f t="shared" si="8"/>
        <v>28650</v>
      </c>
      <c r="AI10" s="1169">
        <f>AD10+AI7</f>
        <v>25750</v>
      </c>
      <c r="AJ10" s="1169">
        <f>AD10+AJ7</f>
        <v>25750</v>
      </c>
      <c r="AK10" s="1169">
        <f t="shared" si="8"/>
        <v>0</v>
      </c>
      <c r="AL10" s="1169">
        <f t="shared" si="8"/>
        <v>32510</v>
      </c>
      <c r="AM10" s="1169">
        <f>AL10+AM7</f>
        <v>33310</v>
      </c>
      <c r="AN10" s="1169">
        <f>AM10+AN7</f>
        <v>34110</v>
      </c>
      <c r="AO10" s="1169">
        <f>AM10+AO7</f>
        <v>35510</v>
      </c>
      <c r="AP10" s="1169">
        <f>AO10+AP7</f>
        <v>41210</v>
      </c>
      <c r="AQ10" s="1169">
        <f>AP10</f>
        <v>41210</v>
      </c>
      <c r="AR10" s="1169">
        <f>AP10+AR7</f>
        <v>46710</v>
      </c>
      <c r="AS10" s="1169">
        <f>AQ10+AS7</f>
        <v>46710</v>
      </c>
      <c r="AT10" s="1169">
        <f t="shared" si="8"/>
        <v>0</v>
      </c>
      <c r="AU10" s="1169">
        <f t="shared" si="8"/>
        <v>0</v>
      </c>
      <c r="AV10" s="1169">
        <f t="shared" si="8"/>
        <v>0</v>
      </c>
      <c r="AW10" s="1169">
        <f t="shared" si="8"/>
        <v>0</v>
      </c>
      <c r="AX10" s="1169">
        <f t="shared" si="8"/>
        <v>0</v>
      </c>
      <c r="AY10" s="1169">
        <f t="shared" si="8"/>
        <v>0</v>
      </c>
      <c r="AZ10" s="1169">
        <f t="shared" si="8"/>
        <v>0</v>
      </c>
      <c r="BA10" s="1169">
        <f t="shared" si="8"/>
        <v>31620</v>
      </c>
      <c r="BB10" s="1169">
        <f>BA10+BB7</f>
        <v>33970</v>
      </c>
      <c r="BC10" s="1169">
        <f>BA10+BC7</f>
        <v>42820</v>
      </c>
      <c r="BD10" s="1169">
        <f>BA10+BD7</f>
        <v>34920</v>
      </c>
      <c r="BE10" s="1169">
        <f t="shared" si="8"/>
        <v>0</v>
      </c>
      <c r="BF10" s="1169">
        <f t="shared" si="8"/>
        <v>0</v>
      </c>
      <c r="BG10" s="2267">
        <f t="shared" si="8"/>
        <v>0</v>
      </c>
    </row>
    <row r="11" spans="1:59" s="1943" customFormat="1" hidden="1" outlineLevel="1">
      <c r="A11" s="1936">
        <f t="shared" si="2"/>
        <v>19650</v>
      </c>
      <c r="B11" s="1943">
        <v>6</v>
      </c>
      <c r="C11" s="1944" t="s">
        <v>763</v>
      </c>
      <c r="D11" s="1952" t="s">
        <v>1282</v>
      </c>
      <c r="E11" s="1953">
        <v>1.1303317535545023</v>
      </c>
      <c r="F11" s="1954">
        <v>1</v>
      </c>
      <c r="G11" s="1946"/>
      <c r="H11" s="934">
        <f>CEILING(H46*$C$2, 50)</f>
        <v>22650</v>
      </c>
      <c r="I11" s="1961">
        <f>H11+I7</f>
        <v>23800</v>
      </c>
      <c r="J11" s="1961">
        <f>H11+J7</f>
        <v>27400</v>
      </c>
      <c r="K11" s="1961">
        <f>H11+K7</f>
        <v>25750</v>
      </c>
      <c r="L11" s="934">
        <f>CEILING(L46*$C$2, 50)</f>
        <v>28600</v>
      </c>
      <c r="M11" s="1955">
        <f>L11+M7</f>
        <v>28600</v>
      </c>
      <c r="N11" s="1955">
        <f>N9</f>
        <v>44550</v>
      </c>
      <c r="O11" s="1955">
        <f>A11+$O$7+Алюм.погонаж!E29</f>
        <v>33450</v>
      </c>
      <c r="P11" s="1955">
        <f>P9</f>
        <v>38900</v>
      </c>
      <c r="Q11" s="1955"/>
      <c r="R11" s="1955"/>
      <c r="S11" s="1955"/>
      <c r="T11" s="1955"/>
      <c r="U11" s="1955"/>
      <c r="V11" s="1955"/>
      <c r="W11" s="1955"/>
      <c r="X11" s="1955"/>
      <c r="Y11" s="1955"/>
      <c r="Z11" s="1955"/>
      <c r="AA11" s="1955"/>
      <c r="AB11" s="1955"/>
      <c r="AC11" s="1955"/>
      <c r="AD11" s="934">
        <f t="shared" ref="AD11" si="9">CEILING(AD46*$C$2, 50)</f>
        <v>26500</v>
      </c>
      <c r="AE11" s="1955">
        <f>AD11+AE7</f>
        <v>32200</v>
      </c>
      <c r="AF11" s="1955">
        <f>CEILING(AD11*(1+AF7), 50)</f>
        <v>23850</v>
      </c>
      <c r="AG11" s="1955">
        <f>AF11+AG7</f>
        <v>29900</v>
      </c>
      <c r="AH11" s="1955">
        <f>CEILING(AG11*(1+AH7), 50)</f>
        <v>30800</v>
      </c>
      <c r="AI11" s="1955">
        <f>AF11</f>
        <v>23850</v>
      </c>
      <c r="AJ11" s="1955">
        <f>AF11</f>
        <v>23850</v>
      </c>
      <c r="AK11" s="1955"/>
      <c r="AL11" s="934">
        <f t="shared" ref="AL11" si="10">CEILING(AL46*$C$2, 50)</f>
        <v>34950</v>
      </c>
      <c r="AM11" s="1955">
        <f>AL11+AM7</f>
        <v>35750</v>
      </c>
      <c r="AN11" s="1955">
        <f>AM11+AN7</f>
        <v>36550</v>
      </c>
      <c r="AO11" s="1955">
        <f>AM11+AO7</f>
        <v>37950</v>
      </c>
      <c r="AP11" s="1955">
        <f>AO11+AP7</f>
        <v>43650</v>
      </c>
      <c r="AQ11" s="1955">
        <f>AP11</f>
        <v>43650</v>
      </c>
      <c r="AR11" s="1956">
        <f>AP11+AR7</f>
        <v>49150</v>
      </c>
      <c r="AS11" s="1956">
        <f>AQ11+AS7</f>
        <v>49150</v>
      </c>
      <c r="AT11" s="1955"/>
      <c r="AU11" s="1955"/>
      <c r="AV11" s="1955"/>
      <c r="AW11" s="1956"/>
      <c r="AX11" s="1955"/>
      <c r="AY11" s="1955"/>
      <c r="AZ11" s="1955"/>
      <c r="BA11" s="934">
        <f t="shared" ref="BA11" si="11">CEILING(BA46*$C$2, 50)</f>
        <v>34000</v>
      </c>
      <c r="BB11" s="1955">
        <f>BA11+BB7</f>
        <v>36350</v>
      </c>
      <c r="BC11" s="1955">
        <f>BA11+BC7</f>
        <v>45200</v>
      </c>
      <c r="BD11" s="1955">
        <f>BA11+BD7</f>
        <v>37300</v>
      </c>
      <c r="BE11" s="1955"/>
      <c r="BF11" s="1957"/>
      <c r="BG11" s="2268"/>
    </row>
    <row r="12" spans="1:59" s="60" customFormat="1" hidden="1" outlineLevel="1">
      <c r="A12" s="1936">
        <f t="shared" si="2"/>
        <v>20450</v>
      </c>
      <c r="B12" s="60">
        <v>7</v>
      </c>
      <c r="C12" s="619" t="s">
        <v>1807</v>
      </c>
      <c r="D12" s="1166" t="s">
        <v>1808</v>
      </c>
      <c r="E12" s="608">
        <v>1.1815165876777252</v>
      </c>
      <c r="F12" s="1176">
        <v>1.0449999999999999</v>
      </c>
      <c r="G12" s="1167">
        <f>H12/H11-1</f>
        <v>4.503311258278142E-2</v>
      </c>
      <c r="H12" s="1169">
        <f>CEILING(H11*$F$12, 10)</f>
        <v>23670</v>
      </c>
      <c r="I12" s="1169">
        <f>H12+I7</f>
        <v>24820</v>
      </c>
      <c r="J12" s="1169">
        <f>H12+J7</f>
        <v>28420</v>
      </c>
      <c r="K12" s="1169">
        <f>H12+K7</f>
        <v>26770</v>
      </c>
      <c r="L12" s="1169">
        <f t="shared" ref="L12" si="12">CEILING(L11*$F$12, 10)</f>
        <v>29890</v>
      </c>
      <c r="M12" s="1169">
        <f>L12+M7</f>
        <v>29890</v>
      </c>
      <c r="N12" s="1169">
        <f>N9</f>
        <v>44550</v>
      </c>
      <c r="O12" s="1169">
        <f>A12+$O$7+Алюм.погонаж!E29</f>
        <v>34250</v>
      </c>
      <c r="P12" s="1169">
        <f>P9</f>
        <v>38900</v>
      </c>
      <c r="Q12" s="1169">
        <f t="shared" ref="Q12:AC12" si="13">CEILING(Q11*$F$12, 10)</f>
        <v>0</v>
      </c>
      <c r="R12" s="1169">
        <f t="shared" si="13"/>
        <v>0</v>
      </c>
      <c r="S12" s="1169">
        <f t="shared" si="13"/>
        <v>0</v>
      </c>
      <c r="T12" s="1169">
        <f t="shared" si="13"/>
        <v>0</v>
      </c>
      <c r="U12" s="1169">
        <f t="shared" si="13"/>
        <v>0</v>
      </c>
      <c r="V12" s="1169">
        <f t="shared" si="13"/>
        <v>0</v>
      </c>
      <c r="W12" s="1169">
        <f t="shared" si="13"/>
        <v>0</v>
      </c>
      <c r="X12" s="1169">
        <f t="shared" si="13"/>
        <v>0</v>
      </c>
      <c r="Y12" s="1169">
        <f t="shared" si="13"/>
        <v>0</v>
      </c>
      <c r="Z12" s="1169">
        <f t="shared" si="13"/>
        <v>0</v>
      </c>
      <c r="AA12" s="1169"/>
      <c r="AB12" s="1169">
        <f t="shared" si="13"/>
        <v>0</v>
      </c>
      <c r="AC12" s="1169">
        <f t="shared" si="13"/>
        <v>0</v>
      </c>
      <c r="AD12" s="1169">
        <v>0</v>
      </c>
      <c r="AE12" s="1169">
        <v>0</v>
      </c>
      <c r="AF12" s="1169">
        <v>0</v>
      </c>
      <c r="AG12" s="1169">
        <v>0</v>
      </c>
      <c r="AH12" s="1169">
        <v>0</v>
      </c>
      <c r="AI12" s="1169">
        <v>0</v>
      </c>
      <c r="AJ12" s="1169">
        <v>0</v>
      </c>
      <c r="AK12" s="1169">
        <f t="shared" ref="AK12:AL12" si="14">CEILING(AK11*$F$12, 10)</f>
        <v>0</v>
      </c>
      <c r="AL12" s="1169">
        <f t="shared" si="14"/>
        <v>36530</v>
      </c>
      <c r="AM12" s="1169">
        <f>AL12+AM7</f>
        <v>37330</v>
      </c>
      <c r="AN12" s="1169">
        <f>AM12+AN7</f>
        <v>38130</v>
      </c>
      <c r="AO12" s="1169">
        <f>AM12+AO7</f>
        <v>39530</v>
      </c>
      <c r="AP12" s="1169">
        <f>AO12+AP7</f>
        <v>45230</v>
      </c>
      <c r="AQ12" s="1169">
        <f>AP12</f>
        <v>45230</v>
      </c>
      <c r="AR12" s="1169">
        <f>AP12+AR7</f>
        <v>50730</v>
      </c>
      <c r="AS12" s="1169">
        <f>AQ12+AS7</f>
        <v>50730</v>
      </c>
      <c r="AT12" s="1169">
        <f t="shared" ref="AT12:BA12" si="15">CEILING(AT11*$F$12, 10)</f>
        <v>0</v>
      </c>
      <c r="AU12" s="1169">
        <f t="shared" si="15"/>
        <v>0</v>
      </c>
      <c r="AV12" s="1169">
        <f t="shared" si="15"/>
        <v>0</v>
      </c>
      <c r="AW12" s="1169">
        <f t="shared" si="15"/>
        <v>0</v>
      </c>
      <c r="AX12" s="1169">
        <f t="shared" si="15"/>
        <v>0</v>
      </c>
      <c r="AY12" s="1169">
        <f t="shared" si="15"/>
        <v>0</v>
      </c>
      <c r="AZ12" s="1169">
        <f t="shared" si="15"/>
        <v>0</v>
      </c>
      <c r="BA12" s="1169">
        <f t="shared" si="15"/>
        <v>35530</v>
      </c>
      <c r="BB12" s="1169">
        <f>BA12+BB7</f>
        <v>37880</v>
      </c>
      <c r="BC12" s="1169">
        <f>BA12+BC7</f>
        <v>46730</v>
      </c>
      <c r="BD12" s="1169">
        <f>BA12+BD7</f>
        <v>38830</v>
      </c>
      <c r="BE12" s="1169">
        <f t="shared" ref="BE12:BG12" si="16">CEILING(BE11*$F$12, 10)</f>
        <v>0</v>
      </c>
      <c r="BF12" s="1169">
        <f t="shared" si="16"/>
        <v>0</v>
      </c>
      <c r="BG12" s="2267">
        <f t="shared" si="16"/>
        <v>0</v>
      </c>
    </row>
    <row r="13" spans="1:59" s="60" customFormat="1" hidden="1" outlineLevel="1">
      <c r="A13" s="1936">
        <f t="shared" si="2"/>
        <v>21200</v>
      </c>
      <c r="B13" s="60">
        <v>8</v>
      </c>
      <c r="C13" s="619" t="s">
        <v>763</v>
      </c>
      <c r="D13" s="1166" t="s">
        <v>1283</v>
      </c>
      <c r="E13" s="608">
        <v>1.2322274881516588</v>
      </c>
      <c r="F13" s="1176">
        <v>1.0900000000000001</v>
      </c>
      <c r="G13" s="1167">
        <f>H13/H11-1</f>
        <v>9.0066225165562841E-2</v>
      </c>
      <c r="H13" s="1169">
        <f>CEILING(H11*$F$13, 10)</f>
        <v>24690</v>
      </c>
      <c r="I13" s="1169">
        <f>H13+I7</f>
        <v>25840</v>
      </c>
      <c r="J13" s="1169">
        <f>H13+J7</f>
        <v>29440</v>
      </c>
      <c r="K13" s="1169">
        <f>H13+K7</f>
        <v>27790</v>
      </c>
      <c r="L13" s="1169">
        <f t="shared" ref="L13" si="17">CEILING(L11*$F$13, 10)</f>
        <v>31180</v>
      </c>
      <c r="M13" s="1169">
        <f>L13+M7</f>
        <v>31180</v>
      </c>
      <c r="N13" s="1169">
        <f>N9</f>
        <v>44550</v>
      </c>
      <c r="O13" s="1169">
        <f>A13+$O$7+Алюм.погонаж!E29</f>
        <v>35000</v>
      </c>
      <c r="P13" s="1169">
        <f>P9</f>
        <v>38900</v>
      </c>
      <c r="Q13" s="934">
        <f>CEILING(Q48*$C$2, 50)</f>
        <v>27300</v>
      </c>
      <c r="R13" s="1169"/>
      <c r="S13" s="1169">
        <f>Q13</f>
        <v>27300</v>
      </c>
      <c r="T13" s="1169">
        <f>S13+T7</f>
        <v>28450</v>
      </c>
      <c r="U13" s="1169">
        <f t="shared" ref="U13:AD13" si="18">CEILING(U11*$F$13, 10)</f>
        <v>0</v>
      </c>
      <c r="V13" s="1169">
        <f t="shared" si="18"/>
        <v>0</v>
      </c>
      <c r="W13" s="1169">
        <f t="shared" si="18"/>
        <v>0</v>
      </c>
      <c r="X13" s="1169">
        <f t="shared" si="18"/>
        <v>0</v>
      </c>
      <c r="Y13" s="1169">
        <f t="shared" si="18"/>
        <v>0</v>
      </c>
      <c r="Z13" s="1169">
        <f t="shared" si="18"/>
        <v>0</v>
      </c>
      <c r="AA13" s="1169"/>
      <c r="AB13" s="1169">
        <f t="shared" si="18"/>
        <v>0</v>
      </c>
      <c r="AC13" s="1169">
        <f t="shared" si="18"/>
        <v>0</v>
      </c>
      <c r="AD13" s="1169">
        <f t="shared" si="18"/>
        <v>28890</v>
      </c>
      <c r="AE13" s="1169">
        <f>AD13+AE7</f>
        <v>34590</v>
      </c>
      <c r="AF13" s="1169">
        <f t="shared" ref="AF13" si="19">CEILING(AF11*$F$13, 10)</f>
        <v>26000</v>
      </c>
      <c r="AG13" s="1169">
        <f>AF13+AG7</f>
        <v>32050</v>
      </c>
      <c r="AH13" s="1169">
        <f t="shared" ref="AH13" si="20">CEILING(AH11*$F$13, 10)</f>
        <v>33580</v>
      </c>
      <c r="AI13" s="1169">
        <f>AD13+AI7</f>
        <v>29990</v>
      </c>
      <c r="AJ13" s="1169">
        <f>AD13+AJ7</f>
        <v>29990</v>
      </c>
      <c r="AK13" s="1169">
        <f t="shared" ref="AK13:AL13" si="21">CEILING(AK11*$F$13, 10)</f>
        <v>0</v>
      </c>
      <c r="AL13" s="1169">
        <f t="shared" si="21"/>
        <v>38100</v>
      </c>
      <c r="AM13" s="1169">
        <f>AL13+AM7</f>
        <v>38900</v>
      </c>
      <c r="AN13" s="1169">
        <f>AM13+AN7</f>
        <v>39700</v>
      </c>
      <c r="AO13" s="1169">
        <f>AM13+AO7</f>
        <v>41100</v>
      </c>
      <c r="AP13" s="1169">
        <f>AO13+AP7</f>
        <v>46800</v>
      </c>
      <c r="AQ13" s="1169">
        <f>AP13</f>
        <v>46800</v>
      </c>
      <c r="AR13" s="1169">
        <f>AP13+AR7</f>
        <v>52300</v>
      </c>
      <c r="AS13" s="1169">
        <f>AQ13+AS7</f>
        <v>52300</v>
      </c>
      <c r="AT13" s="1169">
        <f t="shared" ref="AT13:BA13" si="22">CEILING(AT11*$F$13, 10)</f>
        <v>0</v>
      </c>
      <c r="AU13" s="1169">
        <f t="shared" si="22"/>
        <v>0</v>
      </c>
      <c r="AV13" s="1169">
        <f t="shared" si="22"/>
        <v>0</v>
      </c>
      <c r="AW13" s="1169">
        <f t="shared" si="22"/>
        <v>0</v>
      </c>
      <c r="AX13" s="1169">
        <f t="shared" si="22"/>
        <v>0</v>
      </c>
      <c r="AY13" s="1169">
        <f t="shared" si="22"/>
        <v>0</v>
      </c>
      <c r="AZ13" s="1169">
        <f t="shared" si="22"/>
        <v>0</v>
      </c>
      <c r="BA13" s="1169">
        <f t="shared" si="22"/>
        <v>37060</v>
      </c>
      <c r="BB13" s="1169">
        <f>BA13+BB7</f>
        <v>39410</v>
      </c>
      <c r="BC13" s="1169">
        <f>BA13+BC7</f>
        <v>48260</v>
      </c>
      <c r="BD13" s="1169">
        <f>BA13+BD7</f>
        <v>40360</v>
      </c>
      <c r="BE13" s="1169">
        <f t="shared" ref="BE13:BG13" si="23">CEILING(BE11*$F$13, 10)</f>
        <v>0</v>
      </c>
      <c r="BF13" s="1169">
        <f t="shared" si="23"/>
        <v>0</v>
      </c>
      <c r="BG13" s="2267">
        <f t="shared" si="23"/>
        <v>0</v>
      </c>
    </row>
    <row r="14" spans="1:59" s="211" customFormat="1" hidden="1" outlineLevel="1">
      <c r="B14" s="60">
        <v>9</v>
      </c>
      <c r="C14" s="619" t="s">
        <v>28</v>
      </c>
      <c r="D14" s="1283" t="s">
        <v>1391</v>
      </c>
      <c r="E14" s="585"/>
      <c r="F14" s="585"/>
      <c r="G14" s="585"/>
      <c r="H14" s="1683"/>
      <c r="I14" s="1684"/>
      <c r="J14" s="1684"/>
      <c r="K14" s="1685"/>
      <c r="L14" s="1685"/>
      <c r="M14" s="1686"/>
      <c r="N14" s="1684"/>
      <c r="O14" s="1684"/>
      <c r="P14" s="1684"/>
      <c r="Q14" s="1685"/>
      <c r="R14" s="1685"/>
      <c r="S14" s="1685"/>
      <c r="T14" s="1685"/>
      <c r="U14" s="1685"/>
      <c r="V14" s="1685"/>
      <c r="W14" s="1685"/>
      <c r="X14" s="1687"/>
      <c r="Y14" s="1687"/>
      <c r="Z14" s="1687"/>
      <c r="AA14" s="1687"/>
      <c r="AB14" s="1687"/>
      <c r="AC14" s="1687"/>
      <c r="AD14" s="1687"/>
      <c r="AE14" s="1687"/>
      <c r="AF14" s="1687"/>
      <c r="AG14" s="1687"/>
      <c r="AH14" s="1687"/>
      <c r="AI14" s="1687"/>
      <c r="AJ14" s="1687"/>
      <c r="AK14" s="1687"/>
      <c r="AL14" s="1687"/>
      <c r="AM14" s="1687"/>
      <c r="AN14" s="1687"/>
      <c r="AO14" s="1687"/>
      <c r="AP14" s="1687"/>
      <c r="AQ14" s="1687"/>
      <c r="AR14" s="1687"/>
      <c r="AS14" s="1687"/>
      <c r="AT14" s="1687"/>
      <c r="AU14" s="1687"/>
      <c r="AV14" s="1687"/>
      <c r="AW14" s="1687"/>
      <c r="AX14" s="1687"/>
      <c r="AY14" s="1687"/>
      <c r="AZ14" s="1687"/>
      <c r="BA14" s="1687"/>
      <c r="BB14" s="1687"/>
      <c r="BC14" s="1687"/>
      <c r="BD14" s="1687"/>
      <c r="BE14" s="1687"/>
      <c r="BF14" s="1687"/>
      <c r="BG14" s="1687"/>
    </row>
    <row r="15" spans="1:59" s="211" customFormat="1" hidden="1" outlineLevel="1" collapsed="1">
      <c r="C15" s="1657"/>
      <c r="D15" s="1658"/>
      <c r="E15" s="585"/>
      <c r="F15" s="585"/>
      <c r="G15" s="585"/>
      <c r="H15" s="558"/>
      <c r="I15" s="558"/>
      <c r="J15" s="546"/>
      <c r="L15" s="546" t="s">
        <v>2195</v>
      </c>
      <c r="M15" s="582"/>
      <c r="N15" s="546"/>
      <c r="O15" s="546"/>
      <c r="P15" s="546"/>
      <c r="X15" s="545"/>
      <c r="Y15" s="545"/>
      <c r="Z15" s="545"/>
      <c r="AB15" s="545"/>
      <c r="AC15" s="545"/>
      <c r="AD15" s="558"/>
      <c r="AE15" s="558"/>
      <c r="AF15" s="558"/>
      <c r="AG15" s="558"/>
      <c r="AH15" s="558"/>
      <c r="AI15" s="558"/>
      <c r="AJ15" s="558"/>
      <c r="AK15" s="558"/>
      <c r="AL15" s="558"/>
      <c r="AM15" s="558"/>
      <c r="AN15" s="558"/>
      <c r="AO15" s="558"/>
      <c r="AP15" s="558"/>
      <c r="AQ15" s="558"/>
      <c r="AR15" s="558"/>
      <c r="AS15" s="558"/>
      <c r="AT15" s="558"/>
      <c r="AU15" s="558"/>
      <c r="AV15" s="558"/>
      <c r="AW15" s="558"/>
      <c r="AX15" s="558"/>
      <c r="AY15" s="558"/>
      <c r="AZ15" s="558"/>
      <c r="BA15" s="558"/>
      <c r="BB15" s="558"/>
      <c r="BC15" s="558"/>
      <c r="BD15" s="558"/>
      <c r="BE15" s="558"/>
      <c r="BF15" s="558"/>
      <c r="BG15" s="558"/>
    </row>
    <row r="16" spans="1:59" s="211" customFormat="1" collapsed="1">
      <c r="C16" s="1657"/>
      <c r="D16" s="1658"/>
      <c r="E16" s="585"/>
      <c r="F16" s="585"/>
      <c r="G16" s="585"/>
      <c r="H16" s="558"/>
      <c r="I16" s="546"/>
      <c r="J16" s="546"/>
      <c r="L16" s="546"/>
      <c r="M16" s="582"/>
      <c r="N16" s="546"/>
      <c r="O16" s="546"/>
      <c r="P16" s="546"/>
      <c r="Q16" s="477"/>
      <c r="R16" s="477"/>
      <c r="U16" s="477"/>
      <c r="V16" s="477"/>
      <c r="X16" s="545"/>
      <c r="Y16" s="545"/>
      <c r="Z16" s="545"/>
      <c r="AB16" s="545"/>
      <c r="AC16" s="545"/>
      <c r="AD16" s="558"/>
      <c r="AE16" s="477"/>
      <c r="AF16" s="546"/>
      <c r="AG16" s="546"/>
      <c r="AH16" s="546"/>
      <c r="AI16" s="546"/>
      <c r="AJ16" s="546"/>
      <c r="AM16" s="477"/>
      <c r="AN16" s="477"/>
      <c r="AO16" s="670"/>
      <c r="AP16" s="477"/>
      <c r="AQ16" s="477"/>
      <c r="AR16" s="477"/>
      <c r="AS16" s="477"/>
      <c r="AT16" s="545"/>
      <c r="AU16" s="545"/>
      <c r="AV16" s="545"/>
      <c r="AW16" s="545"/>
      <c r="AX16" s="545"/>
      <c r="AY16" s="545"/>
      <c r="AZ16" s="545"/>
      <c r="BA16" s="1023"/>
      <c r="BB16" s="1023"/>
      <c r="BC16" s="1023"/>
      <c r="BD16" s="1023"/>
    </row>
    <row r="17" spans="1:61" s="61" customFormat="1" ht="21">
      <c r="C17" s="587" t="s">
        <v>1917</v>
      </c>
      <c r="D17" s="1177"/>
      <c r="E17" s="454"/>
      <c r="F17" s="454"/>
      <c r="G17" s="454"/>
      <c r="H17" s="454"/>
      <c r="I17" s="454"/>
      <c r="J17" s="454"/>
      <c r="L17" s="454"/>
      <c r="M17" s="454"/>
      <c r="N17" s="454"/>
      <c r="O17" s="454"/>
      <c r="P17" s="454"/>
      <c r="Q17" s="454"/>
      <c r="R17" s="454"/>
      <c r="S17" s="454"/>
      <c r="T17" s="454"/>
      <c r="U17" s="454"/>
      <c r="V17" s="454"/>
      <c r="W17" s="454"/>
      <c r="X17" s="454"/>
      <c r="Y17" s="454"/>
      <c r="Z17" s="454"/>
      <c r="AB17" s="454"/>
      <c r="AC17" s="454"/>
      <c r="AD17" s="454"/>
      <c r="AE17" s="454"/>
      <c r="AF17" s="454"/>
      <c r="AG17" s="454"/>
      <c r="AH17" s="454"/>
      <c r="AI17" s="454"/>
      <c r="AJ17" s="454"/>
      <c r="AK17" s="454"/>
      <c r="AL17" s="454"/>
      <c r="AM17" s="454"/>
      <c r="AN17" s="454"/>
      <c r="AO17" s="454"/>
      <c r="AP17" s="454"/>
      <c r="AQ17" s="454"/>
      <c r="AR17" s="454"/>
      <c r="AS17" s="454"/>
      <c r="AT17" s="454"/>
      <c r="AU17" s="454"/>
      <c r="AV17" s="454"/>
      <c r="AW17" s="454"/>
      <c r="AX17" s="454"/>
      <c r="AY17" s="454"/>
      <c r="AZ17" s="454"/>
      <c r="BA17" s="454"/>
      <c r="BB17" s="454"/>
      <c r="BC17" s="454"/>
      <c r="BD17" s="454"/>
      <c r="BE17" s="454"/>
      <c r="BF17" s="454"/>
    </row>
    <row r="18" spans="1:61" s="614" customFormat="1" ht="36" hidden="1" outlineLevel="1" collapsed="1">
      <c r="D18" s="587"/>
      <c r="E18" s="1962"/>
      <c r="F18" s="2367"/>
      <c r="G18" s="2371">
        <v>0.39</v>
      </c>
      <c r="H18" s="1932" t="str">
        <f t="shared" ref="H18:Z18" si="24">H5</f>
        <v>Porte01 (Футуро0)</v>
      </c>
      <c r="I18" s="1932" t="str">
        <f t="shared" si="24"/>
        <v>Slot10-01</v>
      </c>
      <c r="J18" s="675" t="str">
        <f t="shared" si="24"/>
        <v>Slot41-02 без алюм кромки</v>
      </c>
      <c r="K18" s="1554" t="str">
        <f t="shared" si="24"/>
        <v>Slot 10-11/12 (10/02)</v>
      </c>
      <c r="L18" s="1932" t="str">
        <f t="shared" si="24"/>
        <v>Vetro11 /13/17
(Футуро1)</v>
      </c>
      <c r="M18" s="1932" t="str">
        <f t="shared" si="24"/>
        <v>Vetro12 /14</v>
      </c>
      <c r="N18" s="1932" t="str">
        <f t="shared" si="24"/>
        <v>Vetro 18 (new)</v>
      </c>
      <c r="O18" s="1932" t="str">
        <f t="shared" si="24"/>
        <v>Porte01+ зеркало с 1 стороны</v>
      </c>
      <c r="P18" s="1932" t="str">
        <f t="shared" si="24"/>
        <v>Porte01+ зеркало с 2х сторон</v>
      </c>
      <c r="Q18" s="610" t="str">
        <f t="shared" si="24"/>
        <v>серия Linea/ Twist/Lingo</v>
      </c>
      <c r="R18" s="610" t="str">
        <f t="shared" si="24"/>
        <v xml:space="preserve">серия Mezzo  </v>
      </c>
      <c r="S18" s="1159" t="str">
        <f t="shared" si="24"/>
        <v>серия 
Fusion Plane</v>
      </c>
      <c r="T18" s="610" t="str">
        <f t="shared" si="24"/>
        <v>серия 
Fusion</v>
      </c>
      <c r="U18" s="1159" t="str">
        <f t="shared" si="24"/>
        <v>серия 
Stripe</v>
      </c>
      <c r="V18" s="618" t="str">
        <f t="shared" si="24"/>
        <v>серия 
Elegance</v>
      </c>
      <c r="W18" s="1159" t="str">
        <f t="shared" si="24"/>
        <v>серия 
Belluno</v>
      </c>
      <c r="X18" s="610" t="str">
        <f t="shared" si="24"/>
        <v>Sienna ДГ</v>
      </c>
      <c r="Y18" s="610" t="str">
        <f t="shared" si="24"/>
        <v xml:space="preserve">Sienna10/ X3 </v>
      </c>
      <c r="Z18" s="616" t="str">
        <f t="shared" si="24"/>
        <v>Sienna1</v>
      </c>
      <c r="AA18" s="616" t="s">
        <v>2083</v>
      </c>
      <c r="AB18" s="1932" t="str">
        <f t="shared" ref="AB18:BG18" si="25">AB5</f>
        <v>серия 
Turin1 (Византия1)</v>
      </c>
      <c r="AC18" s="617" t="str">
        <f t="shared" si="25"/>
        <v>серия
Bergamo</v>
      </c>
      <c r="AD18" s="1932" t="str">
        <f t="shared" si="25"/>
        <v>серия 
Garda</v>
      </c>
      <c r="AE18" s="610" t="str">
        <f t="shared" si="25"/>
        <v>Florence4
(Флоренция Классик)</v>
      </c>
      <c r="AF18" s="1932" t="str">
        <f t="shared" si="25"/>
        <v>Strada01
(Страда ДГ)</v>
      </c>
      <c r="AG18" s="1932" t="str">
        <f t="shared" si="25"/>
        <v>Strada11
(Страда ДО)</v>
      </c>
      <c r="AH18" s="610" t="str">
        <f t="shared" si="25"/>
        <v>Vario11 
(Варио ДО)</v>
      </c>
      <c r="AI18" s="1932" t="str">
        <f t="shared" si="25"/>
        <v>Strada14
(Зебра2 ДО)</v>
      </c>
      <c r="AJ18" s="1932" t="str">
        <f t="shared" si="25"/>
        <v>Strada15*
(Зебра4 ДО)</v>
      </c>
      <c r="AK18" s="1932" t="str">
        <f t="shared" si="25"/>
        <v>серия
жалюзи 1</v>
      </c>
      <c r="AL18" s="620" t="str">
        <f t="shared" si="25"/>
        <v>Rimini1 (new)</v>
      </c>
      <c r="AM18" s="620" t="str">
        <f t="shared" si="25"/>
        <v>Rimini2 (Римини)</v>
      </c>
      <c r="AN18" s="620" t="str">
        <f t="shared" si="25"/>
        <v>Rimini4 (Парма)</v>
      </c>
      <c r="AO18" s="620" t="str">
        <f t="shared" si="25"/>
        <v>Rosso2 (Россо2)</v>
      </c>
      <c r="AP18" s="620" t="str">
        <f t="shared" si="25"/>
        <v>Rosso7 ДГ</v>
      </c>
      <c r="AQ18" s="620" t="str">
        <f t="shared" si="25"/>
        <v>Rosso8 ДГ</v>
      </c>
      <c r="AR18" s="620" t="str">
        <f t="shared" si="25"/>
        <v>Rosso7 + фацет</v>
      </c>
      <c r="AS18" s="620" t="str">
        <f t="shared" si="25"/>
        <v>Rosso8 + фацет</v>
      </c>
      <c r="AT18" s="1932" t="str">
        <f t="shared" si="25"/>
        <v>Amelia ДГ</v>
      </c>
      <c r="AU18" s="610" t="str">
        <f t="shared" si="25"/>
        <v>серия Modena</v>
      </c>
      <c r="AV18" s="610" t="str">
        <f t="shared" si="25"/>
        <v xml:space="preserve">серия Palermo </v>
      </c>
      <c r="AW18" s="1932" t="str">
        <f t="shared" si="25"/>
        <v>Amelia с простым стеклом</v>
      </c>
      <c r="AX18" s="618" t="str">
        <f t="shared" si="25"/>
        <v>Coliseum6 / Venice6/ Arno</v>
      </c>
      <c r="AY18" s="1932" t="str">
        <f t="shared" si="25"/>
        <v>Amelia8 (Амелия1)</v>
      </c>
      <c r="AZ18" s="1932" t="str">
        <f t="shared" si="25"/>
        <v>AmeliaArc1 (Амелия5)</v>
      </c>
      <c r="BA18" s="1932" t="str">
        <f t="shared" si="25"/>
        <v>Union</v>
      </c>
      <c r="BB18" s="1932" t="str">
        <f t="shared" si="25"/>
        <v>Union Slot</v>
      </c>
      <c r="BC18" s="1932" t="str">
        <f t="shared" si="25"/>
        <v>Capriccio01 (Моцарт1); Spline</v>
      </c>
      <c r="BD18" s="1932" t="str">
        <f t="shared" si="25"/>
        <v xml:space="preserve"> Wave, без ал кромки</v>
      </c>
      <c r="BE18" s="1932" t="str">
        <f t="shared" si="25"/>
        <v>Step, Space</v>
      </c>
      <c r="BF18" s="610" t="str">
        <f t="shared" si="25"/>
        <v>Podio</v>
      </c>
      <c r="BG18" s="610" t="str">
        <f t="shared" si="25"/>
        <v>Frame</v>
      </c>
    </row>
    <row r="19" spans="1:61" s="361" customFormat="1" ht="15" hidden="1" customHeight="1" outlineLevel="1">
      <c r="B19" s="361">
        <v>1</v>
      </c>
      <c r="C19" s="1941" t="s">
        <v>231</v>
      </c>
      <c r="D19" s="1942" t="str">
        <f>C19</f>
        <v>Грунт</v>
      </c>
      <c r="E19" s="608">
        <v>0.8</v>
      </c>
      <c r="F19" s="2269"/>
      <c r="G19" s="2269"/>
      <c r="H19" s="1960">
        <f t="shared" ref="H19:AM19" si="26">H8*(1-$G$18)</f>
        <v>9272</v>
      </c>
      <c r="I19" s="1165">
        <f t="shared" si="26"/>
        <v>0</v>
      </c>
      <c r="J19" s="1165">
        <f t="shared" si="26"/>
        <v>0</v>
      </c>
      <c r="K19" s="1165">
        <f t="shared" si="26"/>
        <v>0</v>
      </c>
      <c r="L19" s="1165">
        <f t="shared" si="26"/>
        <v>0</v>
      </c>
      <c r="M19" s="1165">
        <f t="shared" si="26"/>
        <v>0</v>
      </c>
      <c r="N19" s="1165">
        <f t="shared" si="26"/>
        <v>27175.5</v>
      </c>
      <c r="O19" s="1165">
        <f t="shared" si="26"/>
        <v>17690</v>
      </c>
      <c r="P19" s="1165">
        <f t="shared" si="26"/>
        <v>23729</v>
      </c>
      <c r="Q19" s="1165">
        <f t="shared" si="26"/>
        <v>0</v>
      </c>
      <c r="R19" s="1165">
        <f t="shared" si="26"/>
        <v>0</v>
      </c>
      <c r="S19" s="1165">
        <f t="shared" si="26"/>
        <v>0</v>
      </c>
      <c r="T19" s="1165">
        <f t="shared" si="26"/>
        <v>0</v>
      </c>
      <c r="U19" s="1165">
        <f t="shared" si="26"/>
        <v>0</v>
      </c>
      <c r="V19" s="1165">
        <f t="shared" si="26"/>
        <v>0</v>
      </c>
      <c r="W19" s="1165">
        <f t="shared" si="26"/>
        <v>0</v>
      </c>
      <c r="X19" s="1165">
        <f t="shared" si="26"/>
        <v>0</v>
      </c>
      <c r="Y19" s="1165">
        <f t="shared" si="26"/>
        <v>0</v>
      </c>
      <c r="Z19" s="1165">
        <f t="shared" si="26"/>
        <v>0</v>
      </c>
      <c r="AA19" s="1165">
        <f t="shared" si="26"/>
        <v>0</v>
      </c>
      <c r="AB19" s="1165">
        <f t="shared" si="26"/>
        <v>0</v>
      </c>
      <c r="AC19" s="1165">
        <f t="shared" si="26"/>
        <v>0</v>
      </c>
      <c r="AD19" s="1165">
        <f t="shared" si="26"/>
        <v>0</v>
      </c>
      <c r="AE19" s="1165">
        <f t="shared" si="26"/>
        <v>0</v>
      </c>
      <c r="AF19" s="1165">
        <f t="shared" si="26"/>
        <v>0</v>
      </c>
      <c r="AG19" s="1165">
        <f t="shared" si="26"/>
        <v>0</v>
      </c>
      <c r="AH19" s="1165">
        <f t="shared" si="26"/>
        <v>0</v>
      </c>
      <c r="AI19" s="1165">
        <f t="shared" si="26"/>
        <v>0</v>
      </c>
      <c r="AJ19" s="1165">
        <f t="shared" si="26"/>
        <v>0</v>
      </c>
      <c r="AK19" s="1165">
        <f t="shared" si="26"/>
        <v>0</v>
      </c>
      <c r="AL19" s="1164">
        <f t="shared" si="26"/>
        <v>0</v>
      </c>
      <c r="AM19" s="1165">
        <f t="shared" si="26"/>
        <v>0</v>
      </c>
      <c r="AN19" s="1165">
        <f t="shared" ref="AN19:BG19" si="27">AN8*(1-$G$18)</f>
        <v>0</v>
      </c>
      <c r="AO19" s="1165">
        <f t="shared" si="27"/>
        <v>0</v>
      </c>
      <c r="AP19" s="1165">
        <f t="shared" si="27"/>
        <v>0</v>
      </c>
      <c r="AQ19" s="1165">
        <f t="shared" si="27"/>
        <v>0</v>
      </c>
      <c r="AR19" s="1939">
        <f t="shared" si="27"/>
        <v>0</v>
      </c>
      <c r="AS19" s="1939">
        <f t="shared" si="27"/>
        <v>0</v>
      </c>
      <c r="AT19" s="1165">
        <f t="shared" si="27"/>
        <v>0</v>
      </c>
      <c r="AU19" s="1165">
        <f t="shared" si="27"/>
        <v>0</v>
      </c>
      <c r="AV19" s="1165">
        <f t="shared" si="27"/>
        <v>0</v>
      </c>
      <c r="AW19" s="1939">
        <f t="shared" si="27"/>
        <v>0</v>
      </c>
      <c r="AX19" s="1165">
        <f t="shared" si="27"/>
        <v>0</v>
      </c>
      <c r="AY19" s="1165">
        <f t="shared" si="27"/>
        <v>0</v>
      </c>
      <c r="AZ19" s="1165">
        <f t="shared" si="27"/>
        <v>0</v>
      </c>
      <c r="BA19" s="1165">
        <f t="shared" si="27"/>
        <v>0</v>
      </c>
      <c r="BB19" s="1939">
        <f t="shared" si="27"/>
        <v>0</v>
      </c>
      <c r="BC19" s="1939">
        <f t="shared" si="27"/>
        <v>0</v>
      </c>
      <c r="BD19" s="1165">
        <f t="shared" si="27"/>
        <v>0</v>
      </c>
      <c r="BE19" s="1165">
        <f t="shared" si="27"/>
        <v>0</v>
      </c>
      <c r="BF19" s="1940">
        <f t="shared" si="27"/>
        <v>0</v>
      </c>
      <c r="BG19" s="1191">
        <f t="shared" si="27"/>
        <v>13725</v>
      </c>
    </row>
    <row r="20" spans="1:61" s="1943" customFormat="1" hidden="1" outlineLevel="1">
      <c r="B20" s="1943">
        <v>4</v>
      </c>
      <c r="C20" s="1944" t="s">
        <v>28</v>
      </c>
      <c r="D20" s="1945" t="s">
        <v>207</v>
      </c>
      <c r="E20" s="1964">
        <v>1</v>
      </c>
      <c r="F20" s="1963">
        <v>1</v>
      </c>
      <c r="G20" s="2270"/>
      <c r="H20" s="1947">
        <f t="shared" ref="H20:AM20" si="28">H9*(1-$G$18)</f>
        <v>11590</v>
      </c>
      <c r="I20" s="1947">
        <f t="shared" si="28"/>
        <v>12291.5</v>
      </c>
      <c r="J20" s="1947">
        <f t="shared" si="28"/>
        <v>14487.5</v>
      </c>
      <c r="K20" s="1947">
        <f t="shared" si="28"/>
        <v>13481</v>
      </c>
      <c r="L20" s="1947">
        <f t="shared" si="28"/>
        <v>14823</v>
      </c>
      <c r="M20" s="1947">
        <f t="shared" si="28"/>
        <v>14823</v>
      </c>
      <c r="N20" s="1947">
        <f t="shared" si="28"/>
        <v>27175.5</v>
      </c>
      <c r="O20" s="1947">
        <f t="shared" si="28"/>
        <v>18727</v>
      </c>
      <c r="P20" s="1947">
        <f t="shared" si="28"/>
        <v>23729</v>
      </c>
      <c r="Q20" s="1947">
        <f t="shared" si="28"/>
        <v>12352.5</v>
      </c>
      <c r="R20" s="1947">
        <f t="shared" si="28"/>
        <v>14152</v>
      </c>
      <c r="S20" s="1948">
        <f t="shared" si="28"/>
        <v>12230.5</v>
      </c>
      <c r="T20" s="1947">
        <f t="shared" si="28"/>
        <v>12932</v>
      </c>
      <c r="U20" s="1948">
        <f t="shared" si="28"/>
        <v>14152</v>
      </c>
      <c r="V20" s="1947">
        <f t="shared" si="28"/>
        <v>16653</v>
      </c>
      <c r="W20" s="1948">
        <f t="shared" si="28"/>
        <v>21502.5</v>
      </c>
      <c r="X20" s="1947">
        <f t="shared" si="28"/>
        <v>16653</v>
      </c>
      <c r="Y20" s="1947">
        <f t="shared" si="28"/>
        <v>18574.5</v>
      </c>
      <c r="Z20" s="1947">
        <f t="shared" si="28"/>
        <v>20465.5</v>
      </c>
      <c r="AA20" s="1947">
        <f t="shared" si="28"/>
        <v>23058</v>
      </c>
      <c r="AB20" s="1947">
        <f t="shared" si="28"/>
        <v>20465.5</v>
      </c>
      <c r="AC20" s="1947">
        <f t="shared" si="28"/>
        <v>23332.5</v>
      </c>
      <c r="AD20" s="1947">
        <f t="shared" si="28"/>
        <v>13938.5</v>
      </c>
      <c r="AE20" s="1947">
        <f t="shared" si="28"/>
        <v>0</v>
      </c>
      <c r="AF20" s="1947">
        <f t="shared" si="28"/>
        <v>16043</v>
      </c>
      <c r="AG20" s="1947">
        <f t="shared" si="28"/>
        <v>15707.5</v>
      </c>
      <c r="AH20" s="1947">
        <f t="shared" si="28"/>
        <v>17385</v>
      </c>
      <c r="AI20" s="1947">
        <f t="shared" si="28"/>
        <v>0</v>
      </c>
      <c r="AJ20" s="1947">
        <f t="shared" si="28"/>
        <v>0</v>
      </c>
      <c r="AK20" s="1947">
        <f t="shared" si="28"/>
        <v>20069</v>
      </c>
      <c r="AL20" s="1947">
        <f t="shared" si="28"/>
        <v>0</v>
      </c>
      <c r="AM20" s="1947">
        <f t="shared" si="28"/>
        <v>0</v>
      </c>
      <c r="AN20" s="1947">
        <f t="shared" ref="AN20:BG20" si="29">AN9*(1-$G$18)</f>
        <v>0</v>
      </c>
      <c r="AO20" s="1947">
        <f t="shared" si="29"/>
        <v>0</v>
      </c>
      <c r="AP20" s="1947">
        <f t="shared" si="29"/>
        <v>0</v>
      </c>
      <c r="AQ20" s="1947">
        <f t="shared" si="29"/>
        <v>0</v>
      </c>
      <c r="AR20" s="1948">
        <f t="shared" si="29"/>
        <v>0</v>
      </c>
      <c r="AS20" s="1948">
        <f t="shared" si="29"/>
        <v>0</v>
      </c>
      <c r="AT20" s="1947">
        <f t="shared" si="29"/>
        <v>24400</v>
      </c>
      <c r="AU20" s="1947">
        <f t="shared" si="29"/>
        <v>28334.5</v>
      </c>
      <c r="AV20" s="1947">
        <f t="shared" si="29"/>
        <v>31689.5</v>
      </c>
      <c r="AW20" s="1948">
        <f t="shared" si="29"/>
        <v>29737.5</v>
      </c>
      <c r="AX20" s="1947">
        <f t="shared" si="29"/>
        <v>35044.5</v>
      </c>
      <c r="AY20" s="1947">
        <f t="shared" si="29"/>
        <v>39589</v>
      </c>
      <c r="AZ20" s="1947">
        <f t="shared" si="29"/>
        <v>39589</v>
      </c>
      <c r="BA20" s="1947">
        <f t="shared" si="29"/>
        <v>0</v>
      </c>
      <c r="BB20" s="1948">
        <f t="shared" si="29"/>
        <v>0</v>
      </c>
      <c r="BC20" s="1948">
        <f t="shared" si="29"/>
        <v>23637.5</v>
      </c>
      <c r="BD20" s="1947">
        <f t="shared" si="29"/>
        <v>19062.5</v>
      </c>
      <c r="BE20" s="1947">
        <f t="shared" si="29"/>
        <v>18757.5</v>
      </c>
      <c r="BF20" s="1949">
        <f t="shared" si="29"/>
        <v>31689.5</v>
      </c>
      <c r="BG20" s="1950">
        <f t="shared" si="29"/>
        <v>0</v>
      </c>
    </row>
    <row r="21" spans="1:61" s="60" customFormat="1" hidden="1" outlineLevel="1">
      <c r="B21" s="60">
        <v>5</v>
      </c>
      <c r="C21" s="619" t="s">
        <v>763</v>
      </c>
      <c r="D21" s="1166" t="s">
        <v>1281</v>
      </c>
      <c r="E21" s="608">
        <v>1.0516587677725118</v>
      </c>
      <c r="F21" s="1175">
        <v>0.93</v>
      </c>
      <c r="G21" s="2271"/>
      <c r="H21" s="1169">
        <f t="shared" ref="H21:AM21" si="30">H10*(1-$G$18)</f>
        <v>12852.699999999999</v>
      </c>
      <c r="I21" s="1169">
        <f t="shared" si="30"/>
        <v>13554.199999999999</v>
      </c>
      <c r="J21" s="1169">
        <f t="shared" si="30"/>
        <v>15750.199999999999</v>
      </c>
      <c r="K21" s="1169">
        <f t="shared" si="30"/>
        <v>14743.699999999999</v>
      </c>
      <c r="L21" s="1169">
        <f t="shared" si="30"/>
        <v>16226</v>
      </c>
      <c r="M21" s="1169">
        <f t="shared" si="30"/>
        <v>16226</v>
      </c>
      <c r="N21" s="1169">
        <f t="shared" si="30"/>
        <v>27175.5</v>
      </c>
      <c r="O21" s="1169">
        <f t="shared" si="30"/>
        <v>19703</v>
      </c>
      <c r="P21" s="1169">
        <f t="shared" si="30"/>
        <v>23729</v>
      </c>
      <c r="Q21" s="1169">
        <f t="shared" si="30"/>
        <v>0</v>
      </c>
      <c r="R21" s="1169">
        <f t="shared" si="30"/>
        <v>0</v>
      </c>
      <c r="S21" s="1169">
        <f t="shared" si="30"/>
        <v>0</v>
      </c>
      <c r="T21" s="1169">
        <f t="shared" si="30"/>
        <v>0</v>
      </c>
      <c r="U21" s="1169">
        <f t="shared" si="30"/>
        <v>0</v>
      </c>
      <c r="V21" s="1169">
        <f t="shared" si="30"/>
        <v>0</v>
      </c>
      <c r="W21" s="1169">
        <f t="shared" si="30"/>
        <v>0</v>
      </c>
      <c r="X21" s="1169">
        <f t="shared" si="30"/>
        <v>0</v>
      </c>
      <c r="Y21" s="1169">
        <f t="shared" si="30"/>
        <v>0</v>
      </c>
      <c r="Z21" s="1169">
        <f t="shared" si="30"/>
        <v>0</v>
      </c>
      <c r="AA21" s="1169">
        <f t="shared" si="30"/>
        <v>0</v>
      </c>
      <c r="AB21" s="1169">
        <f t="shared" si="30"/>
        <v>0</v>
      </c>
      <c r="AC21" s="1169">
        <f t="shared" si="30"/>
        <v>0</v>
      </c>
      <c r="AD21" s="1169">
        <f t="shared" si="30"/>
        <v>15036.5</v>
      </c>
      <c r="AE21" s="1169">
        <f t="shared" si="30"/>
        <v>18513.5</v>
      </c>
      <c r="AF21" s="1169">
        <f t="shared" si="30"/>
        <v>13535.9</v>
      </c>
      <c r="AG21" s="1169">
        <f t="shared" si="30"/>
        <v>17226.399999999998</v>
      </c>
      <c r="AH21" s="1169">
        <f t="shared" si="30"/>
        <v>17476.5</v>
      </c>
      <c r="AI21" s="1169">
        <f t="shared" si="30"/>
        <v>15707.5</v>
      </c>
      <c r="AJ21" s="1169">
        <f t="shared" si="30"/>
        <v>15707.5</v>
      </c>
      <c r="AK21" s="1169">
        <f t="shared" si="30"/>
        <v>0</v>
      </c>
      <c r="AL21" s="1169">
        <f t="shared" si="30"/>
        <v>19831.099999999999</v>
      </c>
      <c r="AM21" s="1169">
        <f t="shared" si="30"/>
        <v>20319.099999999999</v>
      </c>
      <c r="AN21" s="1169">
        <f t="shared" ref="AN21:BG21" si="31">AN10*(1-$G$18)</f>
        <v>20807.099999999999</v>
      </c>
      <c r="AO21" s="1169">
        <f t="shared" si="31"/>
        <v>21661.1</v>
      </c>
      <c r="AP21" s="1169">
        <f t="shared" si="31"/>
        <v>25138.1</v>
      </c>
      <c r="AQ21" s="1169">
        <f t="shared" si="31"/>
        <v>25138.1</v>
      </c>
      <c r="AR21" s="1169">
        <f t="shared" si="31"/>
        <v>28493.1</v>
      </c>
      <c r="AS21" s="1169">
        <f t="shared" si="31"/>
        <v>28493.1</v>
      </c>
      <c r="AT21" s="1169">
        <f t="shared" si="31"/>
        <v>0</v>
      </c>
      <c r="AU21" s="1169">
        <f t="shared" si="31"/>
        <v>0</v>
      </c>
      <c r="AV21" s="1169">
        <f t="shared" si="31"/>
        <v>0</v>
      </c>
      <c r="AW21" s="1169">
        <f t="shared" si="31"/>
        <v>0</v>
      </c>
      <c r="AX21" s="1169">
        <f t="shared" si="31"/>
        <v>0</v>
      </c>
      <c r="AY21" s="1169">
        <f t="shared" si="31"/>
        <v>0</v>
      </c>
      <c r="AZ21" s="1169">
        <f t="shared" si="31"/>
        <v>0</v>
      </c>
      <c r="BA21" s="1169">
        <f t="shared" si="31"/>
        <v>19288.2</v>
      </c>
      <c r="BB21" s="1169">
        <f t="shared" si="31"/>
        <v>20721.7</v>
      </c>
      <c r="BC21" s="1169">
        <f t="shared" si="31"/>
        <v>26120.2</v>
      </c>
      <c r="BD21" s="1169">
        <f t="shared" si="31"/>
        <v>21301.200000000001</v>
      </c>
      <c r="BE21" s="1169">
        <f t="shared" si="31"/>
        <v>0</v>
      </c>
      <c r="BF21" s="1169">
        <f t="shared" si="31"/>
        <v>0</v>
      </c>
      <c r="BG21" s="1169">
        <f t="shared" si="31"/>
        <v>0</v>
      </c>
    </row>
    <row r="22" spans="1:61" s="1943" customFormat="1" hidden="1" outlineLevel="1">
      <c r="B22" s="1943">
        <v>6</v>
      </c>
      <c r="C22" s="1944" t="s">
        <v>763</v>
      </c>
      <c r="D22" s="1952" t="s">
        <v>1282</v>
      </c>
      <c r="E22" s="1953">
        <v>1.1303317535545023</v>
      </c>
      <c r="F22" s="2368">
        <v>1</v>
      </c>
      <c r="G22" s="2270"/>
      <c r="H22" s="934">
        <f t="shared" ref="H22:AM22" si="32">H11*(1-$G$18)</f>
        <v>13816.5</v>
      </c>
      <c r="I22" s="1961">
        <f t="shared" si="32"/>
        <v>14518</v>
      </c>
      <c r="J22" s="1961">
        <f t="shared" si="32"/>
        <v>16714</v>
      </c>
      <c r="K22" s="1961">
        <f t="shared" si="32"/>
        <v>15707.5</v>
      </c>
      <c r="L22" s="934">
        <f t="shared" si="32"/>
        <v>17446</v>
      </c>
      <c r="M22" s="1955">
        <f t="shared" si="32"/>
        <v>17446</v>
      </c>
      <c r="N22" s="1955">
        <f t="shared" si="32"/>
        <v>27175.5</v>
      </c>
      <c r="O22" s="1955">
        <f t="shared" si="32"/>
        <v>20404.5</v>
      </c>
      <c r="P22" s="1955">
        <f t="shared" si="32"/>
        <v>23729</v>
      </c>
      <c r="Q22" s="1955">
        <f t="shared" si="32"/>
        <v>0</v>
      </c>
      <c r="R22" s="1955">
        <f t="shared" si="32"/>
        <v>0</v>
      </c>
      <c r="S22" s="1955">
        <f t="shared" si="32"/>
        <v>0</v>
      </c>
      <c r="T22" s="1955">
        <f t="shared" si="32"/>
        <v>0</v>
      </c>
      <c r="U22" s="1955">
        <f t="shared" si="32"/>
        <v>0</v>
      </c>
      <c r="V22" s="1955">
        <f t="shared" si="32"/>
        <v>0</v>
      </c>
      <c r="W22" s="1955">
        <f t="shared" si="32"/>
        <v>0</v>
      </c>
      <c r="X22" s="1955">
        <f t="shared" si="32"/>
        <v>0</v>
      </c>
      <c r="Y22" s="1955">
        <f t="shared" si="32"/>
        <v>0</v>
      </c>
      <c r="Z22" s="1955">
        <f t="shared" si="32"/>
        <v>0</v>
      </c>
      <c r="AA22" s="1955">
        <f t="shared" si="32"/>
        <v>0</v>
      </c>
      <c r="AB22" s="1955">
        <f t="shared" si="32"/>
        <v>0</v>
      </c>
      <c r="AC22" s="1955">
        <f t="shared" si="32"/>
        <v>0</v>
      </c>
      <c r="AD22" s="934">
        <f t="shared" si="32"/>
        <v>16165</v>
      </c>
      <c r="AE22" s="1955">
        <f t="shared" si="32"/>
        <v>19642</v>
      </c>
      <c r="AF22" s="1955">
        <f t="shared" si="32"/>
        <v>14548.5</v>
      </c>
      <c r="AG22" s="1955">
        <f t="shared" si="32"/>
        <v>18239</v>
      </c>
      <c r="AH22" s="1955">
        <f t="shared" si="32"/>
        <v>18788</v>
      </c>
      <c r="AI22" s="1955">
        <f t="shared" si="32"/>
        <v>14548.5</v>
      </c>
      <c r="AJ22" s="1955">
        <f t="shared" si="32"/>
        <v>14548.5</v>
      </c>
      <c r="AK22" s="1955">
        <f t="shared" si="32"/>
        <v>0</v>
      </c>
      <c r="AL22" s="934">
        <f t="shared" si="32"/>
        <v>21319.5</v>
      </c>
      <c r="AM22" s="1955">
        <f t="shared" si="32"/>
        <v>21807.5</v>
      </c>
      <c r="AN22" s="1955">
        <f t="shared" ref="AN22:BG22" si="33">AN11*(1-$G$18)</f>
        <v>22295.5</v>
      </c>
      <c r="AO22" s="1955">
        <f t="shared" si="33"/>
        <v>23149.5</v>
      </c>
      <c r="AP22" s="1955">
        <f t="shared" si="33"/>
        <v>26626.5</v>
      </c>
      <c r="AQ22" s="1955">
        <f t="shared" si="33"/>
        <v>26626.5</v>
      </c>
      <c r="AR22" s="1956">
        <f t="shared" si="33"/>
        <v>29981.5</v>
      </c>
      <c r="AS22" s="1956">
        <f t="shared" si="33"/>
        <v>29981.5</v>
      </c>
      <c r="AT22" s="1955">
        <f t="shared" si="33"/>
        <v>0</v>
      </c>
      <c r="AU22" s="1955">
        <f t="shared" si="33"/>
        <v>0</v>
      </c>
      <c r="AV22" s="1955">
        <f t="shared" si="33"/>
        <v>0</v>
      </c>
      <c r="AW22" s="1956">
        <f t="shared" si="33"/>
        <v>0</v>
      </c>
      <c r="AX22" s="1955">
        <f t="shared" si="33"/>
        <v>0</v>
      </c>
      <c r="AY22" s="1955">
        <f t="shared" si="33"/>
        <v>0</v>
      </c>
      <c r="AZ22" s="1955">
        <f t="shared" si="33"/>
        <v>0</v>
      </c>
      <c r="BA22" s="934">
        <f t="shared" si="33"/>
        <v>20740</v>
      </c>
      <c r="BB22" s="1955">
        <f t="shared" si="33"/>
        <v>22173.5</v>
      </c>
      <c r="BC22" s="1955">
        <f t="shared" si="33"/>
        <v>27572</v>
      </c>
      <c r="BD22" s="1955">
        <f t="shared" si="33"/>
        <v>22753</v>
      </c>
      <c r="BE22" s="1955">
        <f t="shared" si="33"/>
        <v>0</v>
      </c>
      <c r="BF22" s="1957">
        <f t="shared" si="33"/>
        <v>0</v>
      </c>
      <c r="BG22" s="1958">
        <f t="shared" si="33"/>
        <v>0</v>
      </c>
    </row>
    <row r="23" spans="1:61" s="60" customFormat="1" hidden="1" outlineLevel="1">
      <c r="B23" s="60">
        <v>7</v>
      </c>
      <c r="C23" s="619" t="s">
        <v>1807</v>
      </c>
      <c r="D23" s="1166" t="s">
        <v>1808</v>
      </c>
      <c r="E23" s="608">
        <v>1.1815165876777252</v>
      </c>
      <c r="F23" s="1175">
        <v>1.0449999999999999</v>
      </c>
      <c r="G23" s="2271"/>
      <c r="H23" s="1169">
        <f t="shared" ref="H23:AM23" si="34">H12*(1-$G$18)</f>
        <v>14438.699999999999</v>
      </c>
      <c r="I23" s="1169">
        <f t="shared" si="34"/>
        <v>15140.199999999999</v>
      </c>
      <c r="J23" s="1169">
        <f t="shared" si="34"/>
        <v>17336.2</v>
      </c>
      <c r="K23" s="1169">
        <f t="shared" si="34"/>
        <v>16329.699999999999</v>
      </c>
      <c r="L23" s="1169">
        <f t="shared" si="34"/>
        <v>18232.899999999998</v>
      </c>
      <c r="M23" s="1169">
        <f t="shared" si="34"/>
        <v>18232.899999999998</v>
      </c>
      <c r="N23" s="1169">
        <f t="shared" si="34"/>
        <v>27175.5</v>
      </c>
      <c r="O23" s="1169">
        <f t="shared" si="34"/>
        <v>20892.5</v>
      </c>
      <c r="P23" s="1169">
        <f t="shared" si="34"/>
        <v>23729</v>
      </c>
      <c r="Q23" s="1169">
        <f t="shared" si="34"/>
        <v>0</v>
      </c>
      <c r="R23" s="1169">
        <f t="shared" si="34"/>
        <v>0</v>
      </c>
      <c r="S23" s="1169">
        <f t="shared" si="34"/>
        <v>0</v>
      </c>
      <c r="T23" s="1169">
        <f t="shared" si="34"/>
        <v>0</v>
      </c>
      <c r="U23" s="1169">
        <f t="shared" si="34"/>
        <v>0</v>
      </c>
      <c r="V23" s="1169">
        <f t="shared" si="34"/>
        <v>0</v>
      </c>
      <c r="W23" s="1169">
        <f t="shared" si="34"/>
        <v>0</v>
      </c>
      <c r="X23" s="1169">
        <f t="shared" si="34"/>
        <v>0</v>
      </c>
      <c r="Y23" s="1169">
        <f t="shared" si="34"/>
        <v>0</v>
      </c>
      <c r="Z23" s="1169">
        <f t="shared" si="34"/>
        <v>0</v>
      </c>
      <c r="AA23" s="1169">
        <f t="shared" si="34"/>
        <v>0</v>
      </c>
      <c r="AB23" s="1169">
        <f t="shared" si="34"/>
        <v>0</v>
      </c>
      <c r="AC23" s="1169">
        <f t="shared" si="34"/>
        <v>0</v>
      </c>
      <c r="AD23" s="1169">
        <f t="shared" si="34"/>
        <v>0</v>
      </c>
      <c r="AE23" s="1169">
        <f t="shared" si="34"/>
        <v>0</v>
      </c>
      <c r="AF23" s="1169">
        <f t="shared" si="34"/>
        <v>0</v>
      </c>
      <c r="AG23" s="1169">
        <f t="shared" si="34"/>
        <v>0</v>
      </c>
      <c r="AH23" s="1169">
        <f t="shared" si="34"/>
        <v>0</v>
      </c>
      <c r="AI23" s="1169">
        <f t="shared" si="34"/>
        <v>0</v>
      </c>
      <c r="AJ23" s="1169">
        <f t="shared" si="34"/>
        <v>0</v>
      </c>
      <c r="AK23" s="1169">
        <f t="shared" si="34"/>
        <v>0</v>
      </c>
      <c r="AL23" s="1169">
        <f t="shared" si="34"/>
        <v>22283.3</v>
      </c>
      <c r="AM23" s="1169">
        <f t="shared" si="34"/>
        <v>22771.3</v>
      </c>
      <c r="AN23" s="1169">
        <f t="shared" ref="AN23:BG23" si="35">AN12*(1-$G$18)</f>
        <v>23259.3</v>
      </c>
      <c r="AO23" s="1169">
        <f t="shared" si="35"/>
        <v>24113.3</v>
      </c>
      <c r="AP23" s="1169">
        <f t="shared" si="35"/>
        <v>27590.3</v>
      </c>
      <c r="AQ23" s="1169">
        <f t="shared" si="35"/>
        <v>27590.3</v>
      </c>
      <c r="AR23" s="1169">
        <f t="shared" si="35"/>
        <v>30945.3</v>
      </c>
      <c r="AS23" s="1169">
        <f t="shared" si="35"/>
        <v>30945.3</v>
      </c>
      <c r="AT23" s="1169">
        <f t="shared" si="35"/>
        <v>0</v>
      </c>
      <c r="AU23" s="1169">
        <f t="shared" si="35"/>
        <v>0</v>
      </c>
      <c r="AV23" s="1169">
        <f t="shared" si="35"/>
        <v>0</v>
      </c>
      <c r="AW23" s="1169">
        <f t="shared" si="35"/>
        <v>0</v>
      </c>
      <c r="AX23" s="1169">
        <f t="shared" si="35"/>
        <v>0</v>
      </c>
      <c r="AY23" s="1169">
        <f t="shared" si="35"/>
        <v>0</v>
      </c>
      <c r="AZ23" s="1169">
        <f t="shared" si="35"/>
        <v>0</v>
      </c>
      <c r="BA23" s="1169">
        <f t="shared" si="35"/>
        <v>21673.3</v>
      </c>
      <c r="BB23" s="1169">
        <f t="shared" si="35"/>
        <v>23106.799999999999</v>
      </c>
      <c r="BC23" s="1169">
        <f t="shared" si="35"/>
        <v>28505.3</v>
      </c>
      <c r="BD23" s="1169">
        <f t="shared" si="35"/>
        <v>23686.3</v>
      </c>
      <c r="BE23" s="1169">
        <f t="shared" si="35"/>
        <v>0</v>
      </c>
      <c r="BF23" s="1169">
        <f t="shared" si="35"/>
        <v>0</v>
      </c>
      <c r="BG23" s="1169">
        <f t="shared" si="35"/>
        <v>0</v>
      </c>
    </row>
    <row r="24" spans="1:61" s="60" customFormat="1" hidden="1" outlineLevel="1">
      <c r="B24" s="60">
        <v>8</v>
      </c>
      <c r="C24" s="619" t="s">
        <v>28</v>
      </c>
      <c r="D24" s="1166" t="s">
        <v>1283</v>
      </c>
      <c r="E24" s="608">
        <v>1.2322274881516588</v>
      </c>
      <c r="F24" s="1175">
        <v>1.0900000000000001</v>
      </c>
      <c r="G24" s="2271"/>
      <c r="H24" s="1169">
        <f t="shared" ref="H24:AM24" si="36">H13*(1-$G$18)</f>
        <v>15060.9</v>
      </c>
      <c r="I24" s="1169">
        <f t="shared" si="36"/>
        <v>15762.4</v>
      </c>
      <c r="J24" s="1169">
        <f t="shared" si="36"/>
        <v>17958.399999999998</v>
      </c>
      <c r="K24" s="1169">
        <f t="shared" si="36"/>
        <v>16951.899999999998</v>
      </c>
      <c r="L24" s="1169">
        <f t="shared" si="36"/>
        <v>19019.8</v>
      </c>
      <c r="M24" s="1169">
        <f t="shared" si="36"/>
        <v>19019.8</v>
      </c>
      <c r="N24" s="1169">
        <f t="shared" si="36"/>
        <v>27175.5</v>
      </c>
      <c r="O24" s="1169">
        <f t="shared" si="36"/>
        <v>21350</v>
      </c>
      <c r="P24" s="1169">
        <f t="shared" si="36"/>
        <v>23729</v>
      </c>
      <c r="Q24" s="1169">
        <f t="shared" si="36"/>
        <v>16653</v>
      </c>
      <c r="R24" s="1169">
        <f t="shared" si="36"/>
        <v>0</v>
      </c>
      <c r="S24" s="1169">
        <f t="shared" si="36"/>
        <v>16653</v>
      </c>
      <c r="T24" s="1169">
        <f t="shared" si="36"/>
        <v>17354.5</v>
      </c>
      <c r="U24" s="1169">
        <f t="shared" si="36"/>
        <v>0</v>
      </c>
      <c r="V24" s="1169">
        <f t="shared" si="36"/>
        <v>0</v>
      </c>
      <c r="W24" s="1169">
        <f t="shared" si="36"/>
        <v>0</v>
      </c>
      <c r="X24" s="1169">
        <f t="shared" si="36"/>
        <v>0</v>
      </c>
      <c r="Y24" s="1169">
        <f t="shared" si="36"/>
        <v>0</v>
      </c>
      <c r="Z24" s="1169">
        <f t="shared" si="36"/>
        <v>0</v>
      </c>
      <c r="AA24" s="1169">
        <f t="shared" si="36"/>
        <v>0</v>
      </c>
      <c r="AB24" s="1169">
        <f t="shared" si="36"/>
        <v>0</v>
      </c>
      <c r="AC24" s="1169">
        <f t="shared" si="36"/>
        <v>0</v>
      </c>
      <c r="AD24" s="1169">
        <f t="shared" si="36"/>
        <v>17622.899999999998</v>
      </c>
      <c r="AE24" s="1169">
        <f t="shared" si="36"/>
        <v>21099.899999999998</v>
      </c>
      <c r="AF24" s="1169">
        <f t="shared" si="36"/>
        <v>15860</v>
      </c>
      <c r="AG24" s="1169">
        <f t="shared" si="36"/>
        <v>19550.5</v>
      </c>
      <c r="AH24" s="1169">
        <f t="shared" si="36"/>
        <v>20483.8</v>
      </c>
      <c r="AI24" s="1169">
        <f t="shared" si="36"/>
        <v>18293.899999999998</v>
      </c>
      <c r="AJ24" s="1169">
        <f t="shared" si="36"/>
        <v>18293.899999999998</v>
      </c>
      <c r="AK24" s="1169">
        <f t="shared" si="36"/>
        <v>0</v>
      </c>
      <c r="AL24" s="1169">
        <f t="shared" si="36"/>
        <v>23241</v>
      </c>
      <c r="AM24" s="1169">
        <f t="shared" si="36"/>
        <v>23729</v>
      </c>
      <c r="AN24" s="1169">
        <f t="shared" ref="AN24:BG24" si="37">AN13*(1-$G$18)</f>
        <v>24217</v>
      </c>
      <c r="AO24" s="1169">
        <f t="shared" si="37"/>
        <v>25071</v>
      </c>
      <c r="AP24" s="1169">
        <f t="shared" si="37"/>
        <v>28548</v>
      </c>
      <c r="AQ24" s="1169">
        <f t="shared" si="37"/>
        <v>28548</v>
      </c>
      <c r="AR24" s="1169">
        <f t="shared" si="37"/>
        <v>31903</v>
      </c>
      <c r="AS24" s="1169">
        <f t="shared" si="37"/>
        <v>31903</v>
      </c>
      <c r="AT24" s="1169">
        <f t="shared" si="37"/>
        <v>0</v>
      </c>
      <c r="AU24" s="1169">
        <f t="shared" si="37"/>
        <v>0</v>
      </c>
      <c r="AV24" s="1169">
        <f t="shared" si="37"/>
        <v>0</v>
      </c>
      <c r="AW24" s="1169">
        <f t="shared" si="37"/>
        <v>0</v>
      </c>
      <c r="AX24" s="1169">
        <f t="shared" si="37"/>
        <v>0</v>
      </c>
      <c r="AY24" s="1169">
        <f t="shared" si="37"/>
        <v>0</v>
      </c>
      <c r="AZ24" s="1169">
        <f t="shared" si="37"/>
        <v>0</v>
      </c>
      <c r="BA24" s="1169">
        <f t="shared" si="37"/>
        <v>22606.6</v>
      </c>
      <c r="BB24" s="1169">
        <f t="shared" si="37"/>
        <v>24040.1</v>
      </c>
      <c r="BC24" s="1169">
        <f t="shared" si="37"/>
        <v>29438.6</v>
      </c>
      <c r="BD24" s="1169">
        <f t="shared" si="37"/>
        <v>24619.599999999999</v>
      </c>
      <c r="BE24" s="1169">
        <f t="shared" si="37"/>
        <v>0</v>
      </c>
      <c r="BF24" s="1169">
        <f t="shared" si="37"/>
        <v>0</v>
      </c>
      <c r="BG24" s="1169">
        <f t="shared" si="37"/>
        <v>0</v>
      </c>
    </row>
    <row r="25" spans="1:61" s="211" customFormat="1" hidden="1" outlineLevel="1">
      <c r="B25" s="60">
        <v>9</v>
      </c>
      <c r="C25" s="619" t="s">
        <v>28</v>
      </c>
      <c r="D25" s="1283" t="s">
        <v>1391</v>
      </c>
      <c r="E25" s="585"/>
      <c r="F25" s="585"/>
      <c r="G25" s="585"/>
      <c r="H25" s="1683"/>
      <c r="I25" s="1684"/>
      <c r="J25" s="1684"/>
      <c r="K25" s="1685"/>
      <c r="L25" s="1685"/>
      <c r="M25" s="1686"/>
      <c r="N25" s="1684"/>
      <c r="O25" s="1684"/>
      <c r="P25" s="1684"/>
      <c r="Q25" s="1685"/>
      <c r="R25" s="1685"/>
      <c r="S25" s="1685"/>
      <c r="T25" s="1685"/>
      <c r="U25" s="1685"/>
      <c r="V25" s="1685"/>
      <c r="W25" s="1685"/>
      <c r="X25" s="1687"/>
      <c r="Y25" s="1687"/>
      <c r="Z25" s="1687"/>
      <c r="AA25" s="1687"/>
      <c r="AB25" s="1687"/>
      <c r="AC25" s="1687"/>
      <c r="AD25" s="1687"/>
      <c r="AE25" s="1687"/>
      <c r="AF25" s="1687"/>
      <c r="AG25" s="1687"/>
      <c r="AH25" s="1687"/>
      <c r="AI25" s="1687"/>
      <c r="AJ25" s="1687"/>
      <c r="AK25" s="1687"/>
      <c r="AL25" s="1687"/>
      <c r="AM25" s="1687"/>
      <c r="AN25" s="1687"/>
      <c r="AO25" s="1687"/>
      <c r="AP25" s="1687"/>
      <c r="AQ25" s="1687"/>
      <c r="AR25" s="1687"/>
      <c r="AS25" s="1687"/>
      <c r="AT25" s="1687"/>
      <c r="AU25" s="1687"/>
      <c r="AV25" s="1687"/>
      <c r="AW25" s="1687"/>
      <c r="AX25" s="1687"/>
      <c r="AY25" s="1687"/>
      <c r="AZ25" s="1687"/>
      <c r="BA25" s="1687"/>
      <c r="BB25" s="1687"/>
      <c r="BC25" s="1687"/>
      <c r="BD25" s="1687"/>
      <c r="BE25" s="1687"/>
      <c r="BF25" s="1687"/>
      <c r="BG25" s="1687"/>
    </row>
    <row r="26" spans="1:61" s="211" customFormat="1" hidden="1" outlineLevel="1"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  <c r="AB26" s="585"/>
      <c r="AC26" s="585"/>
      <c r="AD26" s="585"/>
      <c r="AE26" s="585"/>
      <c r="AF26" s="585"/>
      <c r="AG26" s="585"/>
      <c r="AH26" s="585"/>
      <c r="AI26" s="585"/>
      <c r="AJ26" s="585"/>
      <c r="AK26" s="585"/>
      <c r="AL26" s="585"/>
      <c r="AM26" s="585"/>
      <c r="AN26" s="585"/>
      <c r="AO26" s="585"/>
      <c r="AP26" s="585"/>
      <c r="AQ26" s="585"/>
      <c r="AR26" s="585"/>
      <c r="AS26" s="585"/>
      <c r="AT26" s="585"/>
      <c r="AU26" s="585"/>
      <c r="AV26" s="585"/>
      <c r="AW26" s="585"/>
      <c r="AX26" s="585"/>
      <c r="AY26" s="585"/>
      <c r="AZ26" s="585"/>
      <c r="BA26" s="585"/>
      <c r="BB26" s="585"/>
      <c r="BC26" s="585"/>
      <c r="BD26" s="585"/>
      <c r="BE26" s="585"/>
      <c r="BF26" s="585"/>
      <c r="BG26" s="585"/>
      <c r="BH26" s="585"/>
      <c r="BI26" s="585"/>
    </row>
    <row r="27" spans="1:61" s="211" customFormat="1" collapsed="1"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</row>
    <row r="28" spans="1:61" s="61" customFormat="1">
      <c r="C28" s="1659" t="s">
        <v>2060</v>
      </c>
      <c r="D28" s="1660"/>
      <c r="E28" s="583"/>
      <c r="F28" s="583"/>
      <c r="G28" s="1783"/>
      <c r="H28" s="1390" t="s">
        <v>618</v>
      </c>
      <c r="I28" s="1390" t="s">
        <v>618</v>
      </c>
      <c r="J28" s="1390" t="s">
        <v>618</v>
      </c>
      <c r="K28" s="1170" t="s">
        <v>618</v>
      </c>
      <c r="L28" s="1390" t="s">
        <v>618</v>
      </c>
      <c r="M28" s="1390" t="s">
        <v>618</v>
      </c>
      <c r="N28" s="1390" t="s">
        <v>1621</v>
      </c>
      <c r="O28" s="1390"/>
      <c r="P28" s="1390"/>
      <c r="Q28" s="1390" t="s">
        <v>718</v>
      </c>
      <c r="R28" s="1390" t="s">
        <v>718</v>
      </c>
      <c r="S28" s="1390" t="s">
        <v>621</v>
      </c>
      <c r="T28" s="1390" t="s">
        <v>621</v>
      </c>
      <c r="U28" s="1391" t="s">
        <v>1286</v>
      </c>
      <c r="V28" s="1390" t="s">
        <v>598</v>
      </c>
      <c r="W28" s="1391" t="s">
        <v>1286</v>
      </c>
      <c r="X28" s="1390" t="s">
        <v>1620</v>
      </c>
      <c r="Y28" s="1390" t="s">
        <v>1620</v>
      </c>
      <c r="Z28" s="1390" t="s">
        <v>1620</v>
      </c>
      <c r="AB28" s="1390" t="s">
        <v>1423</v>
      </c>
      <c r="AC28" s="1391"/>
      <c r="AD28" s="1170" t="s">
        <v>1137</v>
      </c>
      <c r="AE28" s="1170" t="s">
        <v>1137</v>
      </c>
      <c r="AF28" s="1170"/>
      <c r="AG28" s="1170"/>
      <c r="AH28" s="1170"/>
      <c r="AI28" s="1170"/>
      <c r="AJ28" s="1170"/>
      <c r="AK28" s="1170"/>
      <c r="AL28" s="1391"/>
      <c r="AM28" s="1170"/>
      <c r="AN28" s="1170"/>
      <c r="AO28" s="1170"/>
      <c r="AP28" s="1170"/>
      <c r="AQ28" s="1170"/>
      <c r="AR28" s="1170"/>
      <c r="AS28" s="1170"/>
      <c r="AT28" s="1170"/>
      <c r="AU28" s="1170"/>
      <c r="AV28" s="1170"/>
      <c r="AW28" s="1170"/>
      <c r="AX28" s="1170"/>
      <c r="AY28" s="1170"/>
      <c r="AZ28" s="1170"/>
      <c r="BA28" s="1170"/>
      <c r="BB28" s="1170"/>
      <c r="BC28" s="1170"/>
      <c r="BD28" s="1170"/>
      <c r="BE28" s="1170"/>
      <c r="BF28" s="1170"/>
      <c r="BG28" s="61" t="s">
        <v>1765</v>
      </c>
    </row>
    <row r="29" spans="1:61" s="614" customFormat="1" ht="36" hidden="1" outlineLevel="1" collapsed="1">
      <c r="D29" s="587"/>
      <c r="E29" s="1962" t="s">
        <v>1918</v>
      </c>
      <c r="F29" s="1962" t="s">
        <v>1919</v>
      </c>
      <c r="G29" s="1933" t="s">
        <v>927</v>
      </c>
      <c r="H29" s="2233" t="s">
        <v>817</v>
      </c>
      <c r="I29" s="2233" t="s">
        <v>1252</v>
      </c>
      <c r="J29" s="675" t="s">
        <v>1256</v>
      </c>
      <c r="K29" s="1554" t="s">
        <v>1619</v>
      </c>
      <c r="L29" s="2233" t="s">
        <v>1257</v>
      </c>
      <c r="M29" s="2233" t="s">
        <v>1269</v>
      </c>
      <c r="N29" s="2233" t="s">
        <v>908</v>
      </c>
      <c r="O29" s="2233" t="s">
        <v>1924</v>
      </c>
      <c r="P29" s="2233" t="s">
        <v>1925</v>
      </c>
      <c r="Q29" s="610" t="s">
        <v>1932</v>
      </c>
      <c r="R29" s="610" t="s">
        <v>1933</v>
      </c>
      <c r="S29" s="1159" t="s">
        <v>1253</v>
      </c>
      <c r="T29" s="610" t="s">
        <v>1250</v>
      </c>
      <c r="U29" s="1159" t="s">
        <v>1254</v>
      </c>
      <c r="V29" s="618" t="s">
        <v>1249</v>
      </c>
      <c r="W29" s="1159" t="s">
        <v>1255</v>
      </c>
      <c r="X29" s="610" t="s">
        <v>1049</v>
      </c>
      <c r="Y29" s="610" t="s">
        <v>1261</v>
      </c>
      <c r="Z29" s="616" t="s">
        <v>1262</v>
      </c>
      <c r="AA29" s="616" t="s">
        <v>2083</v>
      </c>
      <c r="AB29" s="2233" t="s">
        <v>1248</v>
      </c>
      <c r="AC29" s="617" t="s">
        <v>1247</v>
      </c>
      <c r="AD29" s="2233" t="s">
        <v>1285</v>
      </c>
      <c r="AE29" s="610" t="s">
        <v>807</v>
      </c>
      <c r="AF29" s="2233" t="s">
        <v>812</v>
      </c>
      <c r="AG29" s="2233" t="s">
        <v>813</v>
      </c>
      <c r="AH29" s="610" t="s">
        <v>816</v>
      </c>
      <c r="AI29" s="2233" t="s">
        <v>814</v>
      </c>
      <c r="AJ29" s="2233" t="s">
        <v>815</v>
      </c>
      <c r="AK29" s="2233" t="s">
        <v>1251</v>
      </c>
      <c r="AL29" s="620" t="s">
        <v>809</v>
      </c>
      <c r="AM29" s="620" t="s">
        <v>808</v>
      </c>
      <c r="AN29" s="620" t="s">
        <v>810</v>
      </c>
      <c r="AO29" s="620" t="s">
        <v>811</v>
      </c>
      <c r="AP29" s="620" t="s">
        <v>1050</v>
      </c>
      <c r="AQ29" s="620" t="s">
        <v>1051</v>
      </c>
      <c r="AR29" s="620" t="s">
        <v>1279</v>
      </c>
      <c r="AS29" s="620" t="s">
        <v>1280</v>
      </c>
      <c r="AT29" s="2233" t="s">
        <v>1138</v>
      </c>
      <c r="AU29" s="610" t="s">
        <v>1258</v>
      </c>
      <c r="AV29" s="610" t="s">
        <v>1622</v>
      </c>
      <c r="AW29" s="2233" t="s">
        <v>1260</v>
      </c>
      <c r="AX29" s="618" t="s">
        <v>1259</v>
      </c>
      <c r="AY29" s="2233" t="s">
        <v>818</v>
      </c>
      <c r="AZ29" s="2233" t="s">
        <v>819</v>
      </c>
      <c r="BA29" s="2233" t="s">
        <v>1273</v>
      </c>
      <c r="BB29" s="2233" t="s">
        <v>1271</v>
      </c>
      <c r="BC29" s="2233" t="s">
        <v>1263</v>
      </c>
      <c r="BD29" s="2233" t="s">
        <v>1425</v>
      </c>
      <c r="BE29" s="2233" t="s">
        <v>1930</v>
      </c>
      <c r="BF29" s="610" t="s">
        <v>1931</v>
      </c>
      <c r="BG29" s="610" t="s">
        <v>1764</v>
      </c>
    </row>
    <row r="30" spans="1:61" s="361" customFormat="1" ht="15" hidden="1" customHeight="1" outlineLevel="1">
      <c r="A30" s="1936"/>
      <c r="B30" s="361">
        <v>1</v>
      </c>
      <c r="C30" s="1941" t="s">
        <v>231</v>
      </c>
      <c r="D30" s="1942" t="str">
        <f>C30</f>
        <v>Грунт</v>
      </c>
      <c r="E30" s="608">
        <v>0.8</v>
      </c>
      <c r="F30" s="1661"/>
      <c r="G30" s="1661"/>
      <c r="H30" s="2240">
        <f t="shared" ref="H30:H35" si="38">H8/H43-1</f>
        <v>5.1903114186851118E-2</v>
      </c>
      <c r="I30" s="2240" t="s">
        <v>4</v>
      </c>
      <c r="J30" s="2240" t="s">
        <v>4</v>
      </c>
      <c r="K30" s="2240" t="s">
        <v>4</v>
      </c>
      <c r="L30" s="2240" t="s">
        <v>4</v>
      </c>
      <c r="M30" s="2240" t="s">
        <v>4</v>
      </c>
      <c r="N30" s="2240">
        <f t="shared" ref="N30:P35" si="39">N8/N43-1</f>
        <v>5.418835778513964E-2</v>
      </c>
      <c r="O30" s="2240">
        <f t="shared" si="39"/>
        <v>5.4545454545454453E-2</v>
      </c>
      <c r="P30" s="2240">
        <f t="shared" si="39"/>
        <v>5.4200542005420127E-2</v>
      </c>
      <c r="Q30" s="2240" t="s">
        <v>4</v>
      </c>
      <c r="R30" s="2240" t="s">
        <v>4</v>
      </c>
      <c r="S30" s="2240" t="s">
        <v>4</v>
      </c>
      <c r="T30" s="2240" t="s">
        <v>4</v>
      </c>
      <c r="U30" s="2240" t="s">
        <v>4</v>
      </c>
      <c r="V30" s="2240" t="s">
        <v>4</v>
      </c>
      <c r="W30" s="2240"/>
      <c r="X30" s="2240"/>
      <c r="Y30" s="2240"/>
      <c r="Z30" s="2240"/>
      <c r="AA30" s="2240"/>
      <c r="AB30" s="2240"/>
      <c r="AC30" s="2240"/>
      <c r="AD30" s="2240"/>
      <c r="AE30" s="2240"/>
      <c r="AF30" s="2240"/>
      <c r="AG30" s="2240"/>
      <c r="AH30" s="2240"/>
      <c r="AI30" s="2240"/>
      <c r="AJ30" s="2240"/>
      <c r="AK30" s="2240"/>
      <c r="AL30" s="2240"/>
      <c r="AM30" s="2240"/>
      <c r="AN30" s="2240"/>
      <c r="AO30" s="2240"/>
      <c r="AP30" s="2240"/>
      <c r="AQ30" s="2240"/>
      <c r="AR30" s="2240"/>
      <c r="AS30" s="2240"/>
      <c r="AT30" s="2240"/>
      <c r="AU30" s="2240"/>
      <c r="AV30" s="2240"/>
      <c r="AW30" s="2240"/>
      <c r="AX30" s="2240"/>
      <c r="AY30" s="2240"/>
      <c r="AZ30" s="2240"/>
      <c r="BA30" s="2240"/>
      <c r="BB30" s="2240"/>
      <c r="BC30" s="2240"/>
      <c r="BD30" s="2240"/>
      <c r="BE30" s="2240"/>
      <c r="BF30" s="2240"/>
      <c r="BG30" s="2240">
        <f>BG8/BG43-1</f>
        <v>5.1647581210563231E-2</v>
      </c>
    </row>
    <row r="31" spans="1:61" s="1943" customFormat="1" hidden="1" outlineLevel="1">
      <c r="A31" s="1936"/>
      <c r="B31" s="1943">
        <v>4</v>
      </c>
      <c r="C31" s="1944" t="s">
        <v>28</v>
      </c>
      <c r="D31" s="1945" t="s">
        <v>207</v>
      </c>
      <c r="E31" s="1964">
        <v>1</v>
      </c>
      <c r="F31" s="1963">
        <v>1</v>
      </c>
      <c r="G31" s="1946"/>
      <c r="H31" s="2240">
        <f t="shared" si="38"/>
        <v>5.2048726467331052E-2</v>
      </c>
      <c r="I31" s="2240">
        <f t="shared" ref="I31:M35" si="40">I9/I44-1</f>
        <v>5.4421768707483054E-2</v>
      </c>
      <c r="J31" s="2240">
        <f t="shared" si="40"/>
        <v>5.3682342502218372E-2</v>
      </c>
      <c r="K31" s="2240">
        <f t="shared" si="40"/>
        <v>5.3384175405147838E-2</v>
      </c>
      <c r="L31" s="2240">
        <f t="shared" si="40"/>
        <v>5.1948051948051965E-2</v>
      </c>
      <c r="M31" s="2240">
        <f t="shared" si="40"/>
        <v>5.1948051948051965E-2</v>
      </c>
      <c r="N31" s="2240">
        <f t="shared" si="39"/>
        <v>5.418835778513964E-2</v>
      </c>
      <c r="O31" s="2240">
        <f t="shared" si="39"/>
        <v>5.4982817869415834E-2</v>
      </c>
      <c r="P31" s="2240">
        <f t="shared" si="39"/>
        <v>5.4200542005420127E-2</v>
      </c>
      <c r="Q31" s="2240">
        <f t="shared" ref="Q31:AD31" si="41">Q9/Q44-1</f>
        <v>5.1948051948051965E-2</v>
      </c>
      <c r="R31" s="2240">
        <f t="shared" si="41"/>
        <v>5.2154195011337778E-2</v>
      </c>
      <c r="S31" s="2240">
        <f t="shared" si="41"/>
        <v>5.2493438320210029E-2</v>
      </c>
      <c r="T31" s="2240">
        <f t="shared" si="41"/>
        <v>5.4726368159204064E-2</v>
      </c>
      <c r="U31" s="2240">
        <f t="shared" si="41"/>
        <v>5.2154195011337778E-2</v>
      </c>
      <c r="V31" s="2240">
        <f t="shared" si="41"/>
        <v>5.0000000000000044E-2</v>
      </c>
      <c r="W31" s="2240">
        <f t="shared" si="41"/>
        <v>5.1297345660602511E-2</v>
      </c>
      <c r="X31" s="2240">
        <f t="shared" si="41"/>
        <v>5.0000000000000044E-2</v>
      </c>
      <c r="Y31" s="2240">
        <f t="shared" si="41"/>
        <v>5.1087331722471596E-2</v>
      </c>
      <c r="Z31" s="2240">
        <f t="shared" si="41"/>
        <v>5.0407013149655677E-2</v>
      </c>
      <c r="AA31" s="2240">
        <f t="shared" si="41"/>
        <v>5.0000000000000044E-2</v>
      </c>
      <c r="AB31" s="2240">
        <f t="shared" si="41"/>
        <v>5.0407013149655677E-2</v>
      </c>
      <c r="AC31" s="2240">
        <f t="shared" si="41"/>
        <v>5.0824175824175866E-2</v>
      </c>
      <c r="AD31" s="2240">
        <f t="shared" si="41"/>
        <v>5.0574712643678188E-2</v>
      </c>
      <c r="AE31" s="2240"/>
      <c r="AF31" s="2240">
        <f t="shared" ref="AF31:AH33" si="42">AF9/AF44-1</f>
        <v>5.0739113064322883E-2</v>
      </c>
      <c r="AG31" s="2240">
        <f t="shared" si="42"/>
        <v>5.1020408163265252E-2</v>
      </c>
      <c r="AH31" s="2240">
        <f t="shared" si="42"/>
        <v>5.1660516605166018E-2</v>
      </c>
      <c r="AI31" s="2240"/>
      <c r="AJ31" s="2240"/>
      <c r="AK31" s="2240">
        <f>AK9/AK44-1</f>
        <v>5.0446998722860847E-2</v>
      </c>
      <c r="AL31" s="2240"/>
      <c r="AM31" s="2240"/>
      <c r="AN31" s="2240"/>
      <c r="AO31" s="2240"/>
      <c r="AP31" s="2240"/>
      <c r="AQ31" s="2240"/>
      <c r="AR31" s="2240"/>
      <c r="AS31" s="2240"/>
      <c r="AT31" s="2240">
        <f t="shared" ref="AT31:AZ31" si="43">AT9/AT44-1</f>
        <v>5.0420168067226934E-2</v>
      </c>
      <c r="AU31" s="2240">
        <f t="shared" si="43"/>
        <v>5.0904977375565652E-2</v>
      </c>
      <c r="AV31" s="2240">
        <f t="shared" si="43"/>
        <v>5.1619433198380582E-2</v>
      </c>
      <c r="AW31" s="2240">
        <f t="shared" si="43"/>
        <v>5.06465517241379E-2</v>
      </c>
      <c r="AX31" s="2240">
        <f t="shared" si="43"/>
        <v>5.2197802197802234E-2</v>
      </c>
      <c r="AY31" s="2240">
        <f t="shared" si="43"/>
        <v>5.1182377712990057E-2</v>
      </c>
      <c r="AZ31" s="2240">
        <f t="shared" si="43"/>
        <v>5.1182377712990057E-2</v>
      </c>
      <c r="BA31" s="2240"/>
      <c r="BB31" s="2240"/>
      <c r="BC31" s="2240">
        <f>BC9/BC44-1</f>
        <v>5.0704989154013003E-2</v>
      </c>
      <c r="BD31" s="2240">
        <f>BD9/BD44-1</f>
        <v>5.0420168067226934E-2</v>
      </c>
      <c r="BE31" s="2240">
        <f>BE9/BE44-1</f>
        <v>5.1641586867305023E-2</v>
      </c>
      <c r="BF31" s="2240">
        <f>BF9/BF44-1</f>
        <v>5.1619433198380582E-2</v>
      </c>
      <c r="BG31" s="2240"/>
    </row>
    <row r="32" spans="1:61" s="60" customFormat="1" hidden="1" outlineLevel="1">
      <c r="A32" s="1936"/>
      <c r="B32" s="60">
        <v>5</v>
      </c>
      <c r="C32" s="619" t="s">
        <v>763</v>
      </c>
      <c r="D32" s="1166" t="s">
        <v>1281</v>
      </c>
      <c r="E32" s="608">
        <v>1.0516587677725118</v>
      </c>
      <c r="F32" s="1176">
        <v>0.93</v>
      </c>
      <c r="G32" s="1167" t="s">
        <v>4</v>
      </c>
      <c r="H32" s="2240">
        <f t="shared" si="38"/>
        <v>4.9825610363726902E-2</v>
      </c>
      <c r="I32" s="2240">
        <f t="shared" si="40"/>
        <v>5.2083333333333259E-2</v>
      </c>
      <c r="J32" s="2240">
        <f t="shared" si="40"/>
        <v>5.173116089613039E-2</v>
      </c>
      <c r="K32" s="2240">
        <f t="shared" si="40"/>
        <v>5.1326663766855241E-2</v>
      </c>
      <c r="L32" s="2240">
        <f t="shared" si="40"/>
        <v>5.0552922590837213E-2</v>
      </c>
      <c r="M32" s="2240">
        <f t="shared" si="40"/>
        <v>5.0552922590837213E-2</v>
      </c>
      <c r="N32" s="2240">
        <f t="shared" si="39"/>
        <v>5.418835778513964E-2</v>
      </c>
      <c r="O32" s="2240">
        <f t="shared" si="39"/>
        <v>5.3833605220228398E-2</v>
      </c>
      <c r="P32" s="2240">
        <f t="shared" si="39"/>
        <v>5.4200542005420127E-2</v>
      </c>
      <c r="Q32" s="2240"/>
      <c r="R32" s="2240"/>
      <c r="S32" s="2240"/>
      <c r="T32" s="2240"/>
      <c r="U32" s="2240"/>
      <c r="V32" s="2240"/>
      <c r="W32" s="2240"/>
      <c r="X32" s="2240"/>
      <c r="Y32" s="2240"/>
      <c r="Z32" s="2240"/>
      <c r="AA32" s="2240"/>
      <c r="AB32" s="2240"/>
      <c r="AC32" s="2240"/>
      <c r="AD32" s="2240">
        <f>AD10/AD45-1</f>
        <v>5.1621160409556222E-2</v>
      </c>
      <c r="AE32" s="2240">
        <f>AE10/AE45-1</f>
        <v>5.1628551628551733E-2</v>
      </c>
      <c r="AF32" s="2240">
        <f t="shared" si="42"/>
        <v>5.0662878787878896E-2</v>
      </c>
      <c r="AG32" s="2240">
        <f t="shared" si="42"/>
        <v>5.216095380029806E-2</v>
      </c>
      <c r="AH32" s="2240">
        <f t="shared" si="42"/>
        <v>5.1376146788990829E-2</v>
      </c>
      <c r="AI32" s="2240">
        <f>AI10/AI45-1</f>
        <v>5.1879084967320299E-2</v>
      </c>
      <c r="AJ32" s="2240">
        <f>AJ10/AJ45-1</f>
        <v>5.1879084967320299E-2</v>
      </c>
      <c r="AK32" s="2240"/>
      <c r="AL32" s="2240">
        <f t="shared" ref="AL32:AS35" si="44">AL10/AL45-1</f>
        <v>5.1423027166882296E-2</v>
      </c>
      <c r="AM32" s="2240">
        <f t="shared" si="44"/>
        <v>5.2116234996841371E-2</v>
      </c>
      <c r="AN32" s="2240">
        <f t="shared" si="44"/>
        <v>5.2777777777777812E-2</v>
      </c>
      <c r="AO32" s="2240">
        <f t="shared" si="44"/>
        <v>5.2459988144635483E-2</v>
      </c>
      <c r="AP32" s="2240">
        <f t="shared" si="44"/>
        <v>5.2349336057201157E-2</v>
      </c>
      <c r="AQ32" s="2240">
        <f t="shared" si="44"/>
        <v>5.2349336057201157E-2</v>
      </c>
      <c r="AR32" s="2240">
        <f t="shared" si="44"/>
        <v>5.2975653742109996E-2</v>
      </c>
      <c r="AS32" s="2240">
        <f t="shared" si="44"/>
        <v>5.2975653742109996E-2</v>
      </c>
      <c r="AT32" s="2240"/>
      <c r="AU32" s="2240"/>
      <c r="AV32" s="2240"/>
      <c r="AW32" s="2240"/>
      <c r="AX32" s="2240"/>
      <c r="AY32" s="2240"/>
      <c r="AZ32" s="2240"/>
      <c r="BA32" s="2240">
        <f t="shared" ref="BA32:BD35" si="45">BA10/BA45-1</f>
        <v>4.980079681274896E-2</v>
      </c>
      <c r="BB32" s="2240">
        <f t="shared" si="45"/>
        <v>5.105198019801982E-2</v>
      </c>
      <c r="BC32" s="2240">
        <f t="shared" si="45"/>
        <v>5.1055473735886148E-2</v>
      </c>
      <c r="BD32" s="2240">
        <f t="shared" si="45"/>
        <v>5.0541516245487417E-2</v>
      </c>
      <c r="BE32" s="2240"/>
      <c r="BF32" s="2240"/>
      <c r="BG32" s="2240"/>
    </row>
    <row r="33" spans="1:59" s="1943" customFormat="1" hidden="1" outlineLevel="1">
      <c r="A33" s="1936"/>
      <c r="B33" s="1943">
        <v>6</v>
      </c>
      <c r="C33" s="1944" t="s">
        <v>763</v>
      </c>
      <c r="D33" s="1952" t="s">
        <v>1282</v>
      </c>
      <c r="E33" s="1953">
        <v>1.1303317535545023</v>
      </c>
      <c r="F33" s="1954">
        <v>1</v>
      </c>
      <c r="G33" s="1946"/>
      <c r="H33" s="2240">
        <f t="shared" si="38"/>
        <v>5.0069541029207132E-2</v>
      </c>
      <c r="I33" s="2240">
        <f t="shared" si="40"/>
        <v>5.2166224580017628E-2</v>
      </c>
      <c r="J33" s="2240">
        <f t="shared" si="40"/>
        <v>5.1823416506717956E-2</v>
      </c>
      <c r="K33" s="2240">
        <f t="shared" si="40"/>
        <v>5.1449571253572968E-2</v>
      </c>
      <c r="L33" s="2240">
        <f t="shared" si="40"/>
        <v>5.0698016164584914E-2</v>
      </c>
      <c r="M33" s="2240">
        <f t="shared" si="40"/>
        <v>5.0698016164584914E-2</v>
      </c>
      <c r="N33" s="2240">
        <f t="shared" si="39"/>
        <v>5.418835778513964E-2</v>
      </c>
      <c r="O33" s="2240">
        <f t="shared" si="39"/>
        <v>5.3543307086614256E-2</v>
      </c>
      <c r="P33" s="2240">
        <f t="shared" si="39"/>
        <v>5.4200542005420127E-2</v>
      </c>
      <c r="Q33" s="2240"/>
      <c r="R33" s="2240"/>
      <c r="S33" s="2240"/>
      <c r="T33" s="2240"/>
      <c r="U33" s="2240"/>
      <c r="V33" s="2240"/>
      <c r="W33" s="2240"/>
      <c r="X33" s="2240"/>
      <c r="Y33" s="2240"/>
      <c r="Z33" s="2240"/>
      <c r="AA33" s="2240"/>
      <c r="AB33" s="2240"/>
      <c r="AC33" s="2240"/>
      <c r="AD33" s="2240">
        <f>AD11/AD46-1</f>
        <v>5.1587301587301626E-2</v>
      </c>
      <c r="AE33" s="2240">
        <f>AE11/AE46-1</f>
        <v>5.1600261267145564E-2</v>
      </c>
      <c r="AF33" s="2240">
        <f t="shared" si="42"/>
        <v>5.0660792951541911E-2</v>
      </c>
      <c r="AG33" s="2240">
        <f t="shared" si="42"/>
        <v>5.2076002814918976E-2</v>
      </c>
      <c r="AH33" s="2240">
        <f t="shared" si="42"/>
        <v>5.1194539249146853E-2</v>
      </c>
      <c r="AI33" s="2240">
        <f>AI11/AI46-1</f>
        <v>5.0660792951541911E-2</v>
      </c>
      <c r="AJ33" s="2240">
        <f>AJ11/AJ46-1</f>
        <v>5.0660792951541911E-2</v>
      </c>
      <c r="AK33" s="2240"/>
      <c r="AL33" s="2240">
        <f t="shared" si="44"/>
        <v>5.1444043321299704E-2</v>
      </c>
      <c r="AM33" s="2240">
        <f t="shared" si="44"/>
        <v>5.2089464390818074E-2</v>
      </c>
      <c r="AN33" s="2240">
        <f t="shared" si="44"/>
        <v>5.2707373271889457E-2</v>
      </c>
      <c r="AO33" s="2240">
        <f t="shared" si="44"/>
        <v>5.241264559068215E-2</v>
      </c>
      <c r="AP33" s="2240">
        <f t="shared" si="44"/>
        <v>5.2314368370298903E-2</v>
      </c>
      <c r="AQ33" s="2240">
        <f t="shared" si="44"/>
        <v>5.2314368370298903E-2</v>
      </c>
      <c r="AR33" s="2240">
        <f t="shared" si="44"/>
        <v>5.2913453299057389E-2</v>
      </c>
      <c r="AS33" s="2240">
        <f t="shared" si="44"/>
        <v>5.2913453299057389E-2</v>
      </c>
      <c r="AT33" s="2240"/>
      <c r="AU33" s="2240"/>
      <c r="AV33" s="2240"/>
      <c r="AW33" s="2240"/>
      <c r="AX33" s="2240"/>
      <c r="AY33" s="2240"/>
      <c r="AZ33" s="2240"/>
      <c r="BA33" s="2240">
        <f t="shared" si="45"/>
        <v>5.0030883261272363E-2</v>
      </c>
      <c r="BB33" s="2240">
        <f t="shared" si="45"/>
        <v>5.1185656448814454E-2</v>
      </c>
      <c r="BC33" s="2240">
        <f t="shared" si="45"/>
        <v>5.1162790697674376E-2</v>
      </c>
      <c r="BD33" s="2240">
        <f t="shared" si="45"/>
        <v>5.0704225352112609E-2</v>
      </c>
      <c r="BE33" s="2240"/>
      <c r="BF33" s="2240"/>
      <c r="BG33" s="2240"/>
    </row>
    <row r="34" spans="1:59" s="60" customFormat="1" hidden="1" outlineLevel="1">
      <c r="A34" s="1936"/>
      <c r="B34" s="60">
        <v>7</v>
      </c>
      <c r="C34" s="619" t="s">
        <v>1807</v>
      </c>
      <c r="D34" s="1166" t="s">
        <v>1808</v>
      </c>
      <c r="E34" s="608">
        <v>1.1815165876777252</v>
      </c>
      <c r="F34" s="1176">
        <v>1.0449999999999999</v>
      </c>
      <c r="G34" s="1167" t="s">
        <v>4</v>
      </c>
      <c r="H34" s="2240">
        <f t="shared" si="38"/>
        <v>4.9667405764966643E-2</v>
      </c>
      <c r="I34" s="2240">
        <f t="shared" si="40"/>
        <v>5.1694915254237195E-2</v>
      </c>
      <c r="J34" s="2240">
        <f t="shared" si="40"/>
        <v>5.1424343322234556E-2</v>
      </c>
      <c r="K34" s="2240">
        <f t="shared" si="40"/>
        <v>5.1040439733019305E-2</v>
      </c>
      <c r="L34" s="2240">
        <f t="shared" si="40"/>
        <v>5.0615114235500913E-2</v>
      </c>
      <c r="M34" s="2240">
        <f t="shared" si="40"/>
        <v>5.0615114235500913E-2</v>
      </c>
      <c r="N34" s="2240">
        <f t="shared" si="39"/>
        <v>5.418835778513964E-2</v>
      </c>
      <c r="O34" s="2240">
        <f t="shared" si="39"/>
        <v>5.3846153846153877E-2</v>
      </c>
      <c r="P34" s="2240">
        <f t="shared" si="39"/>
        <v>5.4200542005420127E-2</v>
      </c>
      <c r="Q34" s="2240"/>
      <c r="R34" s="2240"/>
      <c r="S34" s="2240"/>
      <c r="T34" s="2240"/>
      <c r="U34" s="2240"/>
      <c r="V34" s="2240"/>
      <c r="W34" s="2240"/>
      <c r="X34" s="2240"/>
      <c r="Y34" s="2240"/>
      <c r="Z34" s="2240"/>
      <c r="AA34" s="2240"/>
      <c r="AB34" s="2240"/>
      <c r="AC34" s="2240"/>
      <c r="AD34" s="2240"/>
      <c r="AE34" s="2240"/>
      <c r="AF34" s="2240"/>
      <c r="AG34" s="2240"/>
      <c r="AH34" s="2240"/>
      <c r="AI34" s="2240"/>
      <c r="AJ34" s="2240"/>
      <c r="AK34" s="2240"/>
      <c r="AL34" s="2240">
        <f t="shared" si="44"/>
        <v>5.1525618883131896E-2</v>
      </c>
      <c r="AM34" s="2240">
        <f t="shared" si="44"/>
        <v>5.2142051860202931E-2</v>
      </c>
      <c r="AN34" s="2240">
        <f t="shared" si="44"/>
        <v>5.2733296521259021E-2</v>
      </c>
      <c r="AO34" s="2240">
        <f t="shared" si="44"/>
        <v>5.2449414270500538E-2</v>
      </c>
      <c r="AP34" s="2240">
        <f t="shared" si="44"/>
        <v>5.2349930200093153E-2</v>
      </c>
      <c r="AQ34" s="2240">
        <f t="shared" si="44"/>
        <v>5.2349930200093153E-2</v>
      </c>
      <c r="AR34" s="2240">
        <f t="shared" si="44"/>
        <v>5.2926525529265245E-2</v>
      </c>
      <c r="AS34" s="2240">
        <f t="shared" si="44"/>
        <v>5.2926525529265245E-2</v>
      </c>
      <c r="AT34" s="2240"/>
      <c r="AU34" s="2240"/>
      <c r="AV34" s="2240"/>
      <c r="AW34" s="2240"/>
      <c r="AX34" s="2240"/>
      <c r="AY34" s="2240"/>
      <c r="AZ34" s="2240"/>
      <c r="BA34" s="2240">
        <f t="shared" si="45"/>
        <v>4.9940898345153695E-2</v>
      </c>
      <c r="BB34" s="2240">
        <f t="shared" si="45"/>
        <v>5.105438401775797E-2</v>
      </c>
      <c r="BC34" s="2240">
        <f t="shared" si="45"/>
        <v>5.1057130004498408E-2</v>
      </c>
      <c r="BD34" s="2240">
        <f t="shared" si="45"/>
        <v>5.0595238095238138E-2</v>
      </c>
      <c r="BE34" s="2240"/>
      <c r="BF34" s="2240"/>
      <c r="BG34" s="2240"/>
    </row>
    <row r="35" spans="1:59" s="60" customFormat="1" hidden="1" outlineLevel="1">
      <c r="A35" s="1936"/>
      <c r="B35" s="60">
        <v>8</v>
      </c>
      <c r="C35" s="619" t="s">
        <v>763</v>
      </c>
      <c r="D35" s="1166" t="s">
        <v>1283</v>
      </c>
      <c r="E35" s="608">
        <v>1.2322274881516588</v>
      </c>
      <c r="F35" s="1176">
        <v>1.0900000000000001</v>
      </c>
      <c r="G35" s="1167" t="s">
        <v>4</v>
      </c>
      <c r="H35" s="2240">
        <f t="shared" si="38"/>
        <v>4.9744897959183687E-2</v>
      </c>
      <c r="I35" s="2240">
        <f t="shared" si="40"/>
        <v>5.1689051689051579E-2</v>
      </c>
      <c r="J35" s="2240">
        <f t="shared" si="40"/>
        <v>5.1428571428571379E-2</v>
      </c>
      <c r="K35" s="2240">
        <f t="shared" si="40"/>
        <v>5.1059001512859359E-2</v>
      </c>
      <c r="L35" s="2240">
        <f t="shared" si="40"/>
        <v>5.0893158072126798E-2</v>
      </c>
      <c r="M35" s="2240">
        <f t="shared" si="40"/>
        <v>5.0893158072126798E-2</v>
      </c>
      <c r="N35" s="2240">
        <f t="shared" si="39"/>
        <v>5.418835778513964E-2</v>
      </c>
      <c r="O35" s="2240">
        <f t="shared" si="39"/>
        <v>5.4216867469879526E-2</v>
      </c>
      <c r="P35" s="2240">
        <f t="shared" si="39"/>
        <v>5.4200542005420127E-2</v>
      </c>
      <c r="Q35" s="2240">
        <f>Q13/Q48-1</f>
        <v>5.0000000000000044E-2</v>
      </c>
      <c r="R35" s="2240"/>
      <c r="S35" s="2240">
        <f>S13/S48-1</f>
        <v>5.0000000000000044E-2</v>
      </c>
      <c r="T35" s="2240">
        <f>T13/T48-1</f>
        <v>5.1756007393715331E-2</v>
      </c>
      <c r="U35" s="2240"/>
      <c r="V35" s="2240"/>
      <c r="W35" s="2240"/>
      <c r="X35" s="2240"/>
      <c r="Y35" s="2240"/>
      <c r="Z35" s="2240"/>
      <c r="AA35" s="2240"/>
      <c r="AB35" s="2240"/>
      <c r="AC35" s="2240"/>
      <c r="AD35" s="2240">
        <f t="shared" ref="AD35:AJ35" si="46">AD13/AD48-1</f>
        <v>5.1692755733527385E-2</v>
      </c>
      <c r="AE35" s="2240">
        <f t="shared" si="46"/>
        <v>5.1687442991790844E-2</v>
      </c>
      <c r="AF35" s="2240">
        <f t="shared" si="46"/>
        <v>5.0505050505050608E-2</v>
      </c>
      <c r="AG35" s="2240">
        <f t="shared" si="46"/>
        <v>5.1854282901214299E-2</v>
      </c>
      <c r="AH35" s="2240">
        <f t="shared" si="46"/>
        <v>5.1346274264245428E-2</v>
      </c>
      <c r="AI35" s="2240">
        <f t="shared" si="46"/>
        <v>5.1911609961416971E-2</v>
      </c>
      <c r="AJ35" s="2240">
        <f t="shared" si="46"/>
        <v>5.1911609961416971E-2</v>
      </c>
      <c r="AK35" s="2240"/>
      <c r="AL35" s="2240">
        <f t="shared" si="44"/>
        <v>5.1324503311258374E-2</v>
      </c>
      <c r="AM35" s="2240">
        <f t="shared" si="44"/>
        <v>5.1919956733369466E-2</v>
      </c>
      <c r="AN35" s="2240">
        <f t="shared" si="44"/>
        <v>5.2492046659597058E-2</v>
      </c>
      <c r="AO35" s="2240">
        <f t="shared" si="44"/>
        <v>5.2227342549923117E-2</v>
      </c>
      <c r="AP35" s="2240">
        <f t="shared" si="44"/>
        <v>5.2158273381294862E-2</v>
      </c>
      <c r="AQ35" s="2240">
        <f t="shared" si="44"/>
        <v>5.2158273381294862E-2</v>
      </c>
      <c r="AR35" s="2240">
        <f t="shared" si="44"/>
        <v>5.2737520128824489E-2</v>
      </c>
      <c r="AS35" s="2240">
        <f t="shared" si="44"/>
        <v>5.2737520128824489E-2</v>
      </c>
      <c r="AT35" s="2240"/>
      <c r="AU35" s="2240"/>
      <c r="AV35" s="2240"/>
      <c r="AW35" s="2240"/>
      <c r="AX35" s="2240"/>
      <c r="AY35" s="2240"/>
      <c r="AZ35" s="2240"/>
      <c r="BA35" s="2240">
        <f t="shared" si="45"/>
        <v>4.9858356940509996E-2</v>
      </c>
      <c r="BB35" s="2240">
        <f t="shared" si="45"/>
        <v>5.0933333333333275E-2</v>
      </c>
      <c r="BC35" s="2240">
        <f t="shared" si="45"/>
        <v>5.0958188153310102E-2</v>
      </c>
      <c r="BD35" s="2240">
        <f t="shared" si="45"/>
        <v>5.0494534096824584E-2</v>
      </c>
      <c r="BE35" s="2240"/>
      <c r="BF35" s="2240"/>
      <c r="BG35" s="2240"/>
    </row>
    <row r="36" spans="1:59" s="211" customFormat="1" hidden="1" outlineLevel="1">
      <c r="B36" s="60">
        <v>9</v>
      </c>
      <c r="C36" s="619" t="s">
        <v>28</v>
      </c>
      <c r="D36" s="1283" t="s">
        <v>1391</v>
      </c>
      <c r="E36" s="585"/>
      <c r="F36" s="585"/>
      <c r="G36" s="585"/>
      <c r="H36" s="1683"/>
      <c r="I36" s="1684"/>
      <c r="J36" s="1684"/>
      <c r="K36" s="1685"/>
      <c r="L36" s="1685"/>
      <c r="M36" s="1686"/>
      <c r="N36" s="1684"/>
      <c r="O36" s="1684"/>
      <c r="P36" s="1684"/>
      <c r="Q36" s="1685"/>
      <c r="R36" s="1685"/>
      <c r="S36" s="1685"/>
      <c r="T36" s="1685"/>
      <c r="U36" s="1685"/>
      <c r="V36" s="1685"/>
      <c r="W36" s="1685"/>
      <c r="X36" s="1687"/>
      <c r="Y36" s="1687"/>
      <c r="Z36" s="1687"/>
      <c r="AA36" s="1687"/>
      <c r="AB36" s="1687"/>
      <c r="AC36" s="1687"/>
      <c r="AD36" s="1687"/>
      <c r="AE36" s="1687"/>
      <c r="AF36" s="1687"/>
      <c r="AG36" s="1687"/>
      <c r="AH36" s="1687"/>
      <c r="AI36" s="1687"/>
      <c r="AJ36" s="1687"/>
      <c r="AK36" s="1687"/>
      <c r="AL36" s="1687"/>
      <c r="AM36" s="1687"/>
      <c r="AN36" s="1687"/>
      <c r="AO36" s="1687"/>
      <c r="AP36" s="1687"/>
      <c r="AQ36" s="1687"/>
      <c r="AR36" s="1687"/>
      <c r="AS36" s="1687"/>
      <c r="AT36" s="1687"/>
      <c r="AU36" s="1687"/>
      <c r="AV36" s="1687"/>
      <c r="AW36" s="1687"/>
      <c r="AX36" s="1687"/>
      <c r="AY36" s="1687"/>
      <c r="AZ36" s="1687"/>
      <c r="BA36" s="1687"/>
      <c r="BB36" s="1687"/>
      <c r="BC36" s="1687"/>
      <c r="BD36" s="1687"/>
      <c r="BE36" s="1687"/>
      <c r="BF36" s="1687"/>
      <c r="BG36" s="1687"/>
    </row>
    <row r="37" spans="1:59" s="61" customFormat="1" ht="21" customHeight="1" collapsed="1">
      <c r="D37" s="1781"/>
      <c r="E37" s="1782"/>
      <c r="F37" s="1658"/>
      <c r="G37" s="585"/>
      <c r="H37" s="1789"/>
      <c r="I37" s="1789"/>
      <c r="J37" s="1789"/>
      <c r="L37" s="1789"/>
      <c r="M37" s="1789"/>
      <c r="N37" s="1789"/>
      <c r="O37" s="1789"/>
      <c r="P37" s="1789"/>
      <c r="Q37" s="1789"/>
      <c r="R37" s="1789"/>
      <c r="S37" s="1789"/>
      <c r="T37" s="1789"/>
      <c r="U37" s="1789"/>
      <c r="V37" s="1789"/>
      <c r="W37" s="1789"/>
      <c r="X37" s="1789"/>
      <c r="Y37" s="1789"/>
      <c r="Z37" s="1789"/>
      <c r="AB37" s="1789"/>
      <c r="AC37" s="1789"/>
      <c r="AD37" s="1789"/>
      <c r="AE37" s="1789"/>
      <c r="AF37" s="1789"/>
      <c r="AG37" s="1789"/>
      <c r="AH37" s="1789"/>
      <c r="AI37" s="1789"/>
      <c r="AJ37" s="1789"/>
      <c r="AK37" s="1789"/>
      <c r="AL37" s="1789"/>
      <c r="AM37" s="1789"/>
      <c r="AN37" s="1789"/>
      <c r="AO37" s="1789"/>
      <c r="AP37" s="1789"/>
      <c r="AQ37" s="1789"/>
      <c r="AR37" s="1789"/>
      <c r="AS37" s="1789"/>
      <c r="AT37" s="1789"/>
      <c r="AU37" s="1789"/>
      <c r="AV37" s="1789"/>
      <c r="AW37" s="1789"/>
      <c r="AX37" s="1789"/>
      <c r="AY37" s="1789"/>
      <c r="AZ37" s="1789"/>
      <c r="BA37" s="1789"/>
      <c r="BB37" s="1789"/>
      <c r="BC37" s="1789"/>
      <c r="BD37" s="1789"/>
      <c r="BE37" s="1789"/>
      <c r="BF37" s="1789"/>
    </row>
    <row r="38" spans="1:59" s="61" customFormat="1" ht="21" customHeight="1">
      <c r="D38" s="1781"/>
      <c r="E38" s="1782"/>
      <c r="F38" s="1658"/>
      <c r="G38" s="585"/>
      <c r="H38" s="1789"/>
      <c r="I38" s="1789"/>
      <c r="J38" s="1789"/>
      <c r="L38" s="1789"/>
      <c r="M38" s="1789"/>
      <c r="N38" s="1789"/>
      <c r="O38" s="1789"/>
      <c r="P38" s="1789"/>
      <c r="Q38" s="1789"/>
      <c r="R38" s="1789"/>
      <c r="S38" s="1789"/>
      <c r="T38" s="1789"/>
      <c r="U38" s="1789"/>
      <c r="V38" s="1789"/>
      <c r="W38" s="1789"/>
      <c r="X38" s="1789"/>
      <c r="Y38" s="1789"/>
      <c r="Z38" s="1789"/>
      <c r="AB38" s="1789"/>
      <c r="AC38" s="1789"/>
      <c r="AD38" s="1789"/>
      <c r="AE38" s="1789"/>
      <c r="AF38" s="1789"/>
      <c r="AG38" s="1789"/>
      <c r="AH38" s="1789"/>
      <c r="AI38" s="1789"/>
      <c r="AJ38" s="1789"/>
      <c r="AK38" s="1789"/>
      <c r="AL38" s="1789"/>
      <c r="AM38" s="1789"/>
      <c r="AN38" s="1789"/>
      <c r="AO38" s="1789"/>
      <c r="AP38" s="1789"/>
      <c r="AQ38" s="1789"/>
      <c r="AR38" s="1789"/>
      <c r="AS38" s="1789"/>
      <c r="AT38" s="1789"/>
      <c r="AU38" s="1789"/>
      <c r="AV38" s="1789"/>
      <c r="AW38" s="1789"/>
      <c r="AX38" s="1789"/>
      <c r="AY38" s="1789"/>
      <c r="AZ38" s="1789"/>
      <c r="BA38" s="1789"/>
      <c r="BB38" s="1789"/>
      <c r="BC38" s="1789"/>
      <c r="BD38" s="1789"/>
      <c r="BE38" s="1789"/>
      <c r="BF38" s="1789"/>
    </row>
    <row r="39" spans="1:59" s="61" customFormat="1">
      <c r="C39" s="1780" t="s">
        <v>2192</v>
      </c>
      <c r="D39" s="1660"/>
      <c r="E39" s="583"/>
      <c r="F39" s="583"/>
      <c r="G39" s="1783"/>
      <c r="H39" s="1390" t="s">
        <v>618</v>
      </c>
      <c r="I39" s="1390" t="s">
        <v>618</v>
      </c>
      <c r="J39" s="1390" t="s">
        <v>618</v>
      </c>
      <c r="K39" s="1170" t="s">
        <v>618</v>
      </c>
      <c r="L39" s="1390" t="s">
        <v>618</v>
      </c>
      <c r="M39" s="1390" t="s">
        <v>618</v>
      </c>
      <c r="N39" s="1390" t="s">
        <v>1621</v>
      </c>
      <c r="O39" s="1390"/>
      <c r="P39" s="1390"/>
      <c r="Q39" s="1390" t="s">
        <v>718</v>
      </c>
      <c r="R39" s="1390" t="s">
        <v>718</v>
      </c>
      <c r="S39" s="1390" t="s">
        <v>621</v>
      </c>
      <c r="T39" s="1390" t="s">
        <v>621</v>
      </c>
      <c r="U39" s="1391" t="s">
        <v>1286</v>
      </c>
      <c r="V39" s="1390" t="s">
        <v>598</v>
      </c>
      <c r="W39" s="1391" t="s">
        <v>1286</v>
      </c>
      <c r="X39" s="1390" t="s">
        <v>1620</v>
      </c>
      <c r="Y39" s="1390" t="s">
        <v>1620</v>
      </c>
      <c r="Z39" s="1390" t="s">
        <v>1620</v>
      </c>
      <c r="AB39" s="1390" t="s">
        <v>1423</v>
      </c>
      <c r="AC39" s="1391"/>
      <c r="AD39" s="1170" t="s">
        <v>1137</v>
      </c>
      <c r="AE39" s="1170" t="s">
        <v>1137</v>
      </c>
      <c r="AF39" s="1170"/>
      <c r="AG39" s="1170"/>
      <c r="AH39" s="1170"/>
      <c r="AI39" s="1170"/>
      <c r="AJ39" s="1170"/>
      <c r="AK39" s="1170"/>
      <c r="AL39" s="1391"/>
      <c r="AM39" s="1170"/>
      <c r="AN39" s="1170"/>
      <c r="AO39" s="1170"/>
      <c r="AP39" s="1170"/>
      <c r="AQ39" s="1170"/>
      <c r="AR39" s="1170"/>
      <c r="AS39" s="1170"/>
      <c r="AT39" s="1170"/>
      <c r="AU39" s="1170"/>
      <c r="AV39" s="1170"/>
      <c r="AW39" s="1170"/>
      <c r="AX39" s="1170"/>
      <c r="AY39" s="1170"/>
      <c r="AZ39" s="1170"/>
      <c r="BA39" s="1170"/>
      <c r="BB39" s="1170"/>
      <c r="BC39" s="1170"/>
      <c r="BD39" s="1170"/>
      <c r="BE39" s="1170"/>
      <c r="BF39" s="1170"/>
      <c r="BG39" s="61" t="s">
        <v>1765</v>
      </c>
    </row>
    <row r="40" spans="1:59" s="614" customFormat="1" ht="36" hidden="1" outlineLevel="1" collapsed="1">
      <c r="D40" s="587"/>
      <c r="E40" s="1962" t="s">
        <v>1918</v>
      </c>
      <c r="F40" s="1962" t="s">
        <v>1919</v>
      </c>
      <c r="G40" s="1933" t="s">
        <v>927</v>
      </c>
      <c r="H40" s="2233" t="s">
        <v>817</v>
      </c>
      <c r="I40" s="2233" t="s">
        <v>1252</v>
      </c>
      <c r="J40" s="675" t="s">
        <v>1256</v>
      </c>
      <c r="K40" s="1554" t="s">
        <v>1619</v>
      </c>
      <c r="L40" s="2233" t="s">
        <v>1257</v>
      </c>
      <c r="M40" s="2233" t="s">
        <v>1269</v>
      </c>
      <c r="N40" s="2233" t="s">
        <v>908</v>
      </c>
      <c r="O40" s="2233" t="s">
        <v>1924</v>
      </c>
      <c r="P40" s="2233" t="s">
        <v>1925</v>
      </c>
      <c r="Q40" s="610" t="s">
        <v>1932</v>
      </c>
      <c r="R40" s="610" t="s">
        <v>1933</v>
      </c>
      <c r="S40" s="1159" t="s">
        <v>1253</v>
      </c>
      <c r="T40" s="610" t="s">
        <v>1250</v>
      </c>
      <c r="U40" s="1159" t="s">
        <v>1254</v>
      </c>
      <c r="V40" s="618" t="s">
        <v>1249</v>
      </c>
      <c r="W40" s="1159" t="s">
        <v>1255</v>
      </c>
      <c r="X40" s="610" t="s">
        <v>1049</v>
      </c>
      <c r="Y40" s="610" t="s">
        <v>1261</v>
      </c>
      <c r="Z40" s="616" t="s">
        <v>1262</v>
      </c>
      <c r="AA40" s="616" t="s">
        <v>2083</v>
      </c>
      <c r="AB40" s="2233" t="s">
        <v>1248</v>
      </c>
      <c r="AC40" s="617" t="s">
        <v>1247</v>
      </c>
      <c r="AD40" s="2233" t="s">
        <v>1285</v>
      </c>
      <c r="AE40" s="610" t="s">
        <v>807</v>
      </c>
      <c r="AF40" s="2233" t="s">
        <v>812</v>
      </c>
      <c r="AG40" s="2233" t="s">
        <v>813</v>
      </c>
      <c r="AH40" s="610" t="s">
        <v>816</v>
      </c>
      <c r="AI40" s="2233" t="s">
        <v>814</v>
      </c>
      <c r="AJ40" s="2233" t="s">
        <v>815</v>
      </c>
      <c r="AK40" s="2233" t="s">
        <v>1251</v>
      </c>
      <c r="AL40" s="620" t="s">
        <v>809</v>
      </c>
      <c r="AM40" s="620" t="s">
        <v>808</v>
      </c>
      <c r="AN40" s="620" t="s">
        <v>810</v>
      </c>
      <c r="AO40" s="620" t="s">
        <v>811</v>
      </c>
      <c r="AP40" s="620" t="s">
        <v>1050</v>
      </c>
      <c r="AQ40" s="620" t="s">
        <v>1051</v>
      </c>
      <c r="AR40" s="620" t="s">
        <v>1279</v>
      </c>
      <c r="AS40" s="620" t="s">
        <v>1280</v>
      </c>
      <c r="AT40" s="2233" t="s">
        <v>1138</v>
      </c>
      <c r="AU40" s="610" t="s">
        <v>1258</v>
      </c>
      <c r="AV40" s="610" t="s">
        <v>1622</v>
      </c>
      <c r="AW40" s="2233" t="s">
        <v>1260</v>
      </c>
      <c r="AX40" s="618" t="s">
        <v>1259</v>
      </c>
      <c r="AY40" s="2233" t="s">
        <v>818</v>
      </c>
      <c r="AZ40" s="2233" t="s">
        <v>819</v>
      </c>
      <c r="BA40" s="2233" t="s">
        <v>1273</v>
      </c>
      <c r="BB40" s="2233" t="s">
        <v>1271</v>
      </c>
      <c r="BC40" s="2233" t="s">
        <v>1263</v>
      </c>
      <c r="BD40" s="2233" t="s">
        <v>1425</v>
      </c>
      <c r="BE40" s="2233" t="s">
        <v>1930</v>
      </c>
      <c r="BF40" s="610" t="s">
        <v>1931</v>
      </c>
      <c r="BG40" s="610" t="s">
        <v>1764</v>
      </c>
    </row>
    <row r="41" spans="1:59" s="614" customFormat="1" ht="36" hidden="1" outlineLevel="1">
      <c r="D41" s="587"/>
      <c r="E41" s="1157"/>
      <c r="F41" s="1174"/>
      <c r="G41" s="1156"/>
      <c r="H41" s="1161"/>
      <c r="I41" s="610" t="s">
        <v>1264</v>
      </c>
      <c r="J41" s="610" t="s">
        <v>1265</v>
      </c>
      <c r="K41" s="610"/>
      <c r="L41" s="610" t="s">
        <v>1268</v>
      </c>
      <c r="M41" s="610" t="s">
        <v>1268</v>
      </c>
      <c r="N41" s="610" t="s">
        <v>1268</v>
      </c>
      <c r="O41" s="1937"/>
      <c r="P41" s="1937"/>
      <c r="Q41" s="610" t="s">
        <v>1266</v>
      </c>
      <c r="R41" s="610" t="s">
        <v>1815</v>
      </c>
      <c r="S41" s="610" t="s">
        <v>1424</v>
      </c>
      <c r="T41" s="610" t="s">
        <v>1267</v>
      </c>
      <c r="U41" s="610"/>
      <c r="V41" s="1162"/>
      <c r="W41" s="1160"/>
      <c r="X41" s="1155"/>
      <c r="Y41" s="1155"/>
      <c r="Z41" s="1171"/>
      <c r="AA41" s="1171"/>
      <c r="AB41" s="1161"/>
      <c r="AC41" s="1163"/>
      <c r="AD41" s="1161"/>
      <c r="AE41" s="1155" t="s">
        <v>1426</v>
      </c>
      <c r="AF41" s="610" t="s">
        <v>1275</v>
      </c>
      <c r="AG41" s="610" t="s">
        <v>1276</v>
      </c>
      <c r="AH41" s="610" t="s">
        <v>1277</v>
      </c>
      <c r="AI41" s="610" t="s">
        <v>1278</v>
      </c>
      <c r="AJ41" s="610" t="s">
        <v>1278</v>
      </c>
      <c r="AK41" s="1161"/>
      <c r="AL41" s="1172"/>
      <c r="AM41" s="1172"/>
      <c r="AN41" s="1172" t="s">
        <v>1921</v>
      </c>
      <c r="AO41" s="1172" t="s">
        <v>1921</v>
      </c>
      <c r="AP41" s="1172" t="s">
        <v>1920</v>
      </c>
      <c r="AQ41" s="1172" t="s">
        <v>1922</v>
      </c>
      <c r="AR41" s="1172" t="s">
        <v>1922</v>
      </c>
      <c r="AS41" s="1172" t="s">
        <v>1923</v>
      </c>
      <c r="AT41" s="1161"/>
      <c r="AU41" s="1155"/>
      <c r="AV41" s="1155" t="s">
        <v>1926</v>
      </c>
      <c r="AW41" s="1155" t="s">
        <v>1927</v>
      </c>
      <c r="AX41" s="1155" t="s">
        <v>1928</v>
      </c>
      <c r="AY41" s="1161" t="s">
        <v>2028</v>
      </c>
      <c r="AZ41" s="1161" t="s">
        <v>1929</v>
      </c>
      <c r="BA41" s="610"/>
      <c r="BB41" s="610" t="s">
        <v>1272</v>
      </c>
      <c r="BC41" s="610" t="s">
        <v>1274</v>
      </c>
      <c r="BD41" s="610" t="s">
        <v>1270</v>
      </c>
      <c r="BE41" s="610"/>
      <c r="BF41" s="1553"/>
      <c r="BG41" s="2370" t="s">
        <v>1766</v>
      </c>
    </row>
    <row r="42" spans="1:59" s="1965" customFormat="1" hidden="1" outlineLevel="1">
      <c r="C42" s="1966"/>
      <c r="D42" s="1967"/>
      <c r="E42" s="1966"/>
      <c r="F42" s="1968"/>
      <c r="G42" s="1969"/>
      <c r="H42" s="1966"/>
      <c r="I42" s="1970">
        <v>1050</v>
      </c>
      <c r="J42" s="1970">
        <v>4480</v>
      </c>
      <c r="K42" s="1971">
        <v>2920</v>
      </c>
      <c r="L42" s="1970"/>
      <c r="M42" s="1970"/>
      <c r="O42" s="1970">
        <v>9400</v>
      </c>
      <c r="P42" s="1980">
        <v>9400</v>
      </c>
      <c r="Q42" s="1972"/>
      <c r="R42" s="1972"/>
      <c r="S42" s="1972"/>
      <c r="T42" s="1972">
        <v>1050</v>
      </c>
      <c r="U42" s="1973"/>
      <c r="V42" s="1974"/>
      <c r="W42" s="1973"/>
      <c r="X42" s="1972"/>
      <c r="Y42" s="1972"/>
      <c r="Z42" s="1975">
        <v>5940</v>
      </c>
      <c r="AA42" s="1975">
        <v>10000</v>
      </c>
      <c r="AB42" s="1975">
        <v>5940</v>
      </c>
      <c r="AC42" s="1975">
        <v>10400</v>
      </c>
      <c r="AD42" s="1970"/>
      <c r="AE42" s="1972">
        <v>5420</v>
      </c>
      <c r="AF42" s="1979">
        <v>-0.1</v>
      </c>
      <c r="AG42" s="1976">
        <v>5720</v>
      </c>
      <c r="AH42" s="1979">
        <v>0.03</v>
      </c>
      <c r="AI42" s="1970">
        <v>1040</v>
      </c>
      <c r="AJ42" s="1970">
        <v>1040</v>
      </c>
      <c r="AK42" s="1970"/>
      <c r="AL42" s="1977"/>
      <c r="AM42" s="1970">
        <v>740</v>
      </c>
      <c r="AN42" s="1970">
        <v>740</v>
      </c>
      <c r="AO42" s="1970">
        <v>2080</v>
      </c>
      <c r="AP42" s="1970">
        <v>5420</v>
      </c>
      <c r="AQ42" s="1970"/>
      <c r="AR42" s="1970">
        <v>5200</v>
      </c>
      <c r="AS42" s="1970">
        <v>5200</v>
      </c>
      <c r="AT42" s="1970"/>
      <c r="AU42" s="1972"/>
      <c r="AV42" s="1970">
        <v>5200</v>
      </c>
      <c r="AW42" s="1970">
        <v>8320</v>
      </c>
      <c r="AX42" s="1970">
        <v>5200</v>
      </c>
      <c r="AY42" s="1970">
        <v>15340</v>
      </c>
      <c r="AZ42" s="1970"/>
      <c r="BA42" s="1970"/>
      <c r="BB42" s="1970">
        <v>2200</v>
      </c>
      <c r="BC42" s="1970">
        <v>10620</v>
      </c>
      <c r="BD42" s="1970">
        <v>3120</v>
      </c>
      <c r="BE42" s="1970"/>
      <c r="BF42" s="1978"/>
    </row>
    <row r="43" spans="1:59" s="361" customFormat="1" ht="15" hidden="1" customHeight="1" outlineLevel="1">
      <c r="A43" s="1936">
        <v>14450</v>
      </c>
      <c r="B43" s="361">
        <v>1</v>
      </c>
      <c r="C43" s="1941" t="s">
        <v>231</v>
      </c>
      <c r="D43" s="1942" t="s">
        <v>231</v>
      </c>
      <c r="E43" s="608">
        <v>0.8</v>
      </c>
      <c r="F43" s="1661"/>
      <c r="G43" s="1661"/>
      <c r="H43" s="1960">
        <v>14450</v>
      </c>
      <c r="I43" s="1165"/>
      <c r="J43" s="1165"/>
      <c r="K43" s="1661"/>
      <c r="L43" s="1165"/>
      <c r="M43" s="1165"/>
      <c r="N43" s="1983">
        <v>42260</v>
      </c>
      <c r="O43" s="1984">
        <v>27500</v>
      </c>
      <c r="P43" s="1983">
        <v>36900</v>
      </c>
      <c r="Q43" s="1165"/>
      <c r="R43" s="1165"/>
      <c r="S43" s="1939"/>
      <c r="T43" s="1165"/>
      <c r="U43" s="1939"/>
      <c r="V43" s="1165"/>
      <c r="W43" s="1939"/>
      <c r="X43" s="1165"/>
      <c r="Y43" s="1165"/>
      <c r="Z43" s="1165"/>
      <c r="AA43" s="1165"/>
      <c r="AB43" s="1165"/>
      <c r="AC43" s="1165"/>
      <c r="AD43" s="1165"/>
      <c r="AE43" s="1165"/>
      <c r="AF43" s="1165"/>
      <c r="AG43" s="1165"/>
      <c r="AH43" s="1165"/>
      <c r="AI43" s="1165"/>
      <c r="AJ43" s="1165"/>
      <c r="AK43" s="1165"/>
      <c r="AL43" s="1164"/>
      <c r="AM43" s="1165"/>
      <c r="AN43" s="1165"/>
      <c r="AO43" s="1165"/>
      <c r="AP43" s="1165"/>
      <c r="AQ43" s="1165"/>
      <c r="AR43" s="1939"/>
      <c r="AS43" s="1939"/>
      <c r="AT43" s="1165"/>
      <c r="AU43" s="1165"/>
      <c r="AV43" s="1165"/>
      <c r="AW43" s="1939"/>
      <c r="AX43" s="1165"/>
      <c r="AY43" s="1165"/>
      <c r="AZ43" s="1165"/>
      <c r="BA43" s="1165"/>
      <c r="BB43" s="1939"/>
      <c r="BC43" s="1939"/>
      <c r="BD43" s="1165"/>
      <c r="BE43" s="1165"/>
      <c r="BF43" s="1940"/>
      <c r="BG43" s="1191">
        <v>21395</v>
      </c>
    </row>
    <row r="44" spans="1:59" s="1943" customFormat="1" hidden="1" outlineLevel="1">
      <c r="A44" s="1936">
        <v>16050</v>
      </c>
      <c r="B44" s="1943">
        <v>4</v>
      </c>
      <c r="C44" s="1944" t="s">
        <v>28</v>
      </c>
      <c r="D44" s="1945" t="s">
        <v>207</v>
      </c>
      <c r="E44" s="1964">
        <v>1</v>
      </c>
      <c r="F44" s="1963">
        <v>1</v>
      </c>
      <c r="G44" s="1946"/>
      <c r="H44" s="1947">
        <v>18060</v>
      </c>
      <c r="I44" s="1947">
        <v>19110</v>
      </c>
      <c r="J44" s="1947">
        <v>22540</v>
      </c>
      <c r="K44" s="1947">
        <v>20980</v>
      </c>
      <c r="L44" s="933">
        <v>23100</v>
      </c>
      <c r="M44" s="1947">
        <v>23100</v>
      </c>
      <c r="N44" s="1981">
        <v>42260</v>
      </c>
      <c r="O44" s="1934">
        <v>29100</v>
      </c>
      <c r="P44" s="1981">
        <v>36900</v>
      </c>
      <c r="Q44" s="933">
        <v>19250</v>
      </c>
      <c r="R44" s="933">
        <v>22050</v>
      </c>
      <c r="S44" s="1158">
        <v>19050</v>
      </c>
      <c r="T44" s="1947">
        <v>20100</v>
      </c>
      <c r="U44" s="1158">
        <v>22050</v>
      </c>
      <c r="V44" s="933">
        <v>26000</v>
      </c>
      <c r="W44" s="1158">
        <v>33530</v>
      </c>
      <c r="X44" s="933">
        <v>26000</v>
      </c>
      <c r="Y44" s="933">
        <v>28970</v>
      </c>
      <c r="Z44" s="1947">
        <v>31940</v>
      </c>
      <c r="AA44" s="1947">
        <v>36000</v>
      </c>
      <c r="AB44" s="1947">
        <v>31940</v>
      </c>
      <c r="AC44" s="1947">
        <v>36400</v>
      </c>
      <c r="AD44" s="1947">
        <v>21750</v>
      </c>
      <c r="AE44" s="1947"/>
      <c r="AF44" s="1947">
        <v>25030</v>
      </c>
      <c r="AG44" s="1947">
        <v>24500</v>
      </c>
      <c r="AH44" s="1947">
        <v>27100</v>
      </c>
      <c r="AI44" s="1947"/>
      <c r="AJ44" s="1947"/>
      <c r="AK44" s="1947">
        <v>31320</v>
      </c>
      <c r="AL44" s="1947"/>
      <c r="AM44" s="1947"/>
      <c r="AN44" s="1947"/>
      <c r="AO44" s="1947"/>
      <c r="AP44" s="1947"/>
      <c r="AQ44" s="1947"/>
      <c r="AR44" s="1948"/>
      <c r="AS44" s="1948"/>
      <c r="AT44" s="933">
        <v>38080</v>
      </c>
      <c r="AU44" s="1947">
        <v>44200</v>
      </c>
      <c r="AV44" s="1947">
        <v>49400</v>
      </c>
      <c r="AW44" s="1947">
        <v>46400</v>
      </c>
      <c r="AX44" s="1947">
        <v>54600</v>
      </c>
      <c r="AY44" s="1947">
        <v>61740</v>
      </c>
      <c r="AZ44" s="1947">
        <v>61740</v>
      </c>
      <c r="BA44" s="1947"/>
      <c r="BB44" s="1948"/>
      <c r="BC44" s="1948">
        <v>36880</v>
      </c>
      <c r="BD44" s="1947">
        <v>29750</v>
      </c>
      <c r="BE44" s="933">
        <v>29240</v>
      </c>
      <c r="BF44" s="1986">
        <v>49400</v>
      </c>
      <c r="BG44" s="1950"/>
    </row>
    <row r="45" spans="1:59" s="60" customFormat="1" hidden="1" outlineLevel="1">
      <c r="A45" s="1936">
        <v>17600</v>
      </c>
      <c r="B45" s="60">
        <v>5</v>
      </c>
      <c r="C45" s="619" t="s">
        <v>763</v>
      </c>
      <c r="D45" s="1166" t="s">
        <v>1281</v>
      </c>
      <c r="E45" s="608">
        <v>1.0516587677725118</v>
      </c>
      <c r="F45" s="1176">
        <v>0.93</v>
      </c>
      <c r="G45" s="1167">
        <v>-6.9541029207232263E-2</v>
      </c>
      <c r="H45" s="1169">
        <v>20070</v>
      </c>
      <c r="I45" s="1169">
        <v>21120</v>
      </c>
      <c r="J45" s="1169">
        <v>24550</v>
      </c>
      <c r="K45" s="1169">
        <v>22990</v>
      </c>
      <c r="L45" s="1169">
        <v>25320</v>
      </c>
      <c r="M45" s="1169">
        <v>25320</v>
      </c>
      <c r="N45" s="1938">
        <v>42260</v>
      </c>
      <c r="O45" s="1985">
        <v>30650</v>
      </c>
      <c r="P45" s="1938">
        <v>36900</v>
      </c>
      <c r="Q45" s="1169">
        <v>0</v>
      </c>
      <c r="R45" s="1169">
        <v>0</v>
      </c>
      <c r="S45" s="1169">
        <v>0</v>
      </c>
      <c r="T45" s="1169">
        <v>0</v>
      </c>
      <c r="U45" s="1169">
        <v>0</v>
      </c>
      <c r="V45" s="1169">
        <v>0</v>
      </c>
      <c r="W45" s="1169">
        <v>0</v>
      </c>
      <c r="X45" s="1169">
        <v>0</v>
      </c>
      <c r="Y45" s="1169">
        <v>0</v>
      </c>
      <c r="Z45" s="1169">
        <v>0</v>
      </c>
      <c r="AA45" s="1169"/>
      <c r="AB45" s="1169">
        <v>0</v>
      </c>
      <c r="AC45" s="1169">
        <v>0</v>
      </c>
      <c r="AD45" s="1169">
        <v>23440</v>
      </c>
      <c r="AE45" s="1169">
        <v>28860</v>
      </c>
      <c r="AF45" s="1169">
        <v>21120</v>
      </c>
      <c r="AG45" s="1169">
        <v>26840</v>
      </c>
      <c r="AH45" s="1169">
        <v>27250</v>
      </c>
      <c r="AI45" s="1169">
        <v>24480</v>
      </c>
      <c r="AJ45" s="1169">
        <v>24480</v>
      </c>
      <c r="AK45" s="1169">
        <v>0</v>
      </c>
      <c r="AL45" s="1169">
        <v>30920</v>
      </c>
      <c r="AM45" s="1169">
        <v>31660</v>
      </c>
      <c r="AN45" s="1169">
        <v>32400</v>
      </c>
      <c r="AO45" s="1169">
        <v>33740</v>
      </c>
      <c r="AP45" s="1169">
        <v>39160</v>
      </c>
      <c r="AQ45" s="1169">
        <v>39160</v>
      </c>
      <c r="AR45" s="1169">
        <v>44360</v>
      </c>
      <c r="AS45" s="1169">
        <v>44360</v>
      </c>
      <c r="AT45" s="1169">
        <v>0</v>
      </c>
      <c r="AU45" s="1169">
        <v>0</v>
      </c>
      <c r="AV45" s="1169">
        <v>0</v>
      </c>
      <c r="AW45" s="1169">
        <v>0</v>
      </c>
      <c r="AX45" s="1169">
        <v>0</v>
      </c>
      <c r="AY45" s="1169">
        <v>0</v>
      </c>
      <c r="AZ45" s="1169">
        <v>0</v>
      </c>
      <c r="BA45" s="1169">
        <v>30120</v>
      </c>
      <c r="BB45" s="1169">
        <v>32320</v>
      </c>
      <c r="BC45" s="1169">
        <v>40740</v>
      </c>
      <c r="BD45" s="1169">
        <v>33240</v>
      </c>
      <c r="BE45" s="1169">
        <v>0</v>
      </c>
      <c r="BF45" s="1169">
        <v>0</v>
      </c>
      <c r="BG45" s="1169">
        <v>0</v>
      </c>
    </row>
    <row r="46" spans="1:59" s="1943" customFormat="1" hidden="1" outlineLevel="1">
      <c r="A46" s="1936">
        <v>18700</v>
      </c>
      <c r="B46" s="1943">
        <v>6</v>
      </c>
      <c r="C46" s="1944" t="s">
        <v>763</v>
      </c>
      <c r="D46" s="1952" t="s">
        <v>1282</v>
      </c>
      <c r="E46" s="1953">
        <v>1.1303317535545023</v>
      </c>
      <c r="F46" s="1954">
        <v>1</v>
      </c>
      <c r="G46" s="1946"/>
      <c r="H46" s="934">
        <v>21570</v>
      </c>
      <c r="I46" s="1961">
        <v>22620</v>
      </c>
      <c r="J46" s="1961">
        <v>26050</v>
      </c>
      <c r="K46" s="1961">
        <v>24490</v>
      </c>
      <c r="L46" s="934">
        <v>27220</v>
      </c>
      <c r="M46" s="1955">
        <v>27220</v>
      </c>
      <c r="N46" s="1982">
        <v>42260</v>
      </c>
      <c r="O46" s="1935">
        <v>31750</v>
      </c>
      <c r="P46" s="1982">
        <v>36900</v>
      </c>
      <c r="Q46" s="1955"/>
      <c r="R46" s="1955"/>
      <c r="S46" s="1955"/>
      <c r="T46" s="1955"/>
      <c r="U46" s="1955"/>
      <c r="V46" s="1955"/>
      <c r="W46" s="1955"/>
      <c r="X46" s="1955"/>
      <c r="Y46" s="1955"/>
      <c r="Z46" s="1955"/>
      <c r="AA46" s="1955"/>
      <c r="AB46" s="1955"/>
      <c r="AC46" s="1955"/>
      <c r="AD46" s="934">
        <v>25200</v>
      </c>
      <c r="AE46" s="1955">
        <v>30620</v>
      </c>
      <c r="AF46" s="1955">
        <v>22700</v>
      </c>
      <c r="AG46" s="1955">
        <v>28420</v>
      </c>
      <c r="AH46" s="1955">
        <v>29300</v>
      </c>
      <c r="AI46" s="1955">
        <v>22700</v>
      </c>
      <c r="AJ46" s="1955">
        <v>22700</v>
      </c>
      <c r="AK46" s="1955"/>
      <c r="AL46" s="934">
        <v>33240</v>
      </c>
      <c r="AM46" s="1955">
        <v>33980</v>
      </c>
      <c r="AN46" s="1955">
        <v>34720</v>
      </c>
      <c r="AO46" s="1955">
        <v>36060</v>
      </c>
      <c r="AP46" s="1955">
        <v>41480</v>
      </c>
      <c r="AQ46" s="1955">
        <v>41480</v>
      </c>
      <c r="AR46" s="1956">
        <v>46680</v>
      </c>
      <c r="AS46" s="1956">
        <v>46680</v>
      </c>
      <c r="AT46" s="1955"/>
      <c r="AU46" s="1955"/>
      <c r="AV46" s="1955"/>
      <c r="AW46" s="1956"/>
      <c r="AX46" s="1955"/>
      <c r="AY46" s="1955"/>
      <c r="AZ46" s="1955"/>
      <c r="BA46" s="934">
        <v>32380</v>
      </c>
      <c r="BB46" s="1955">
        <v>34580</v>
      </c>
      <c r="BC46" s="1955">
        <v>43000</v>
      </c>
      <c r="BD46" s="1955">
        <v>35500</v>
      </c>
      <c r="BE46" s="1955"/>
      <c r="BF46" s="1957"/>
      <c r="BG46" s="1958"/>
    </row>
    <row r="47" spans="1:59" s="60" customFormat="1" hidden="1" outlineLevel="1">
      <c r="A47" s="1936">
        <v>19450</v>
      </c>
      <c r="B47" s="60">
        <v>7</v>
      </c>
      <c r="C47" s="619" t="s">
        <v>1807</v>
      </c>
      <c r="D47" s="1166" t="s">
        <v>1808</v>
      </c>
      <c r="E47" s="608">
        <v>1.1815165876777252</v>
      </c>
      <c r="F47" s="1176">
        <v>1.0449999999999999</v>
      </c>
      <c r="G47" s="1167">
        <v>4.5433472415391751E-2</v>
      </c>
      <c r="H47" s="1169">
        <v>22550</v>
      </c>
      <c r="I47" s="1169">
        <v>23600</v>
      </c>
      <c r="J47" s="1169">
        <v>27030</v>
      </c>
      <c r="K47" s="1169">
        <v>25470</v>
      </c>
      <c r="L47" s="1169">
        <v>28450</v>
      </c>
      <c r="M47" s="1169">
        <v>28450</v>
      </c>
      <c r="N47" s="1938">
        <v>42260</v>
      </c>
      <c r="O47" s="1985">
        <v>32500</v>
      </c>
      <c r="P47" s="1938">
        <v>36900</v>
      </c>
      <c r="Q47" s="1169">
        <v>0</v>
      </c>
      <c r="R47" s="1169">
        <v>0</v>
      </c>
      <c r="S47" s="1169">
        <v>0</v>
      </c>
      <c r="T47" s="1169">
        <v>0</v>
      </c>
      <c r="U47" s="1169">
        <v>0</v>
      </c>
      <c r="V47" s="1169">
        <v>0</v>
      </c>
      <c r="W47" s="1169">
        <v>0</v>
      </c>
      <c r="X47" s="1169">
        <v>0</v>
      </c>
      <c r="Y47" s="1169">
        <v>0</v>
      </c>
      <c r="Z47" s="1169">
        <v>0</v>
      </c>
      <c r="AA47" s="1169"/>
      <c r="AB47" s="1169">
        <v>0</v>
      </c>
      <c r="AC47" s="1169">
        <v>0</v>
      </c>
      <c r="AD47" s="1169">
        <v>0</v>
      </c>
      <c r="AE47" s="1169">
        <v>0</v>
      </c>
      <c r="AF47" s="1169">
        <v>0</v>
      </c>
      <c r="AG47" s="1169">
        <v>0</v>
      </c>
      <c r="AH47" s="1169">
        <v>0</v>
      </c>
      <c r="AI47" s="1169">
        <v>0</v>
      </c>
      <c r="AJ47" s="1169">
        <v>0</v>
      </c>
      <c r="AK47" s="1169">
        <v>0</v>
      </c>
      <c r="AL47" s="1169">
        <v>34740</v>
      </c>
      <c r="AM47" s="1169">
        <v>35480</v>
      </c>
      <c r="AN47" s="1169">
        <v>36220</v>
      </c>
      <c r="AO47" s="1169">
        <v>37560</v>
      </c>
      <c r="AP47" s="1169">
        <v>42980</v>
      </c>
      <c r="AQ47" s="1169">
        <v>42980</v>
      </c>
      <c r="AR47" s="1169">
        <v>48180</v>
      </c>
      <c r="AS47" s="1169">
        <v>48180</v>
      </c>
      <c r="AT47" s="1169">
        <v>0</v>
      </c>
      <c r="AU47" s="1169">
        <v>0</v>
      </c>
      <c r="AV47" s="1169">
        <v>0</v>
      </c>
      <c r="AW47" s="1169">
        <v>0</v>
      </c>
      <c r="AX47" s="1169">
        <v>0</v>
      </c>
      <c r="AY47" s="1169">
        <v>0</v>
      </c>
      <c r="AZ47" s="1169">
        <v>0</v>
      </c>
      <c r="BA47" s="1169">
        <v>33840</v>
      </c>
      <c r="BB47" s="1169">
        <v>36040</v>
      </c>
      <c r="BC47" s="1169">
        <v>44460</v>
      </c>
      <c r="BD47" s="1169">
        <v>36960</v>
      </c>
      <c r="BE47" s="1169">
        <v>0</v>
      </c>
      <c r="BF47" s="1169">
        <v>0</v>
      </c>
      <c r="BG47" s="1169">
        <v>0</v>
      </c>
    </row>
    <row r="48" spans="1:59" s="60" customFormat="1" hidden="1" outlineLevel="1">
      <c r="A48" s="1936">
        <v>20150</v>
      </c>
      <c r="B48" s="60">
        <v>8</v>
      </c>
      <c r="C48" s="619" t="s">
        <v>763</v>
      </c>
      <c r="D48" s="1166" t="s">
        <v>1283</v>
      </c>
      <c r="E48" s="608">
        <v>1.2322274881516588</v>
      </c>
      <c r="F48" s="1176">
        <v>1.0900000000000001</v>
      </c>
      <c r="G48" s="1167">
        <v>9.0403337969402031E-2</v>
      </c>
      <c r="H48" s="1169">
        <v>23520</v>
      </c>
      <c r="I48" s="1169">
        <v>24570</v>
      </c>
      <c r="J48" s="1169">
        <v>28000</v>
      </c>
      <c r="K48" s="1169">
        <v>26440</v>
      </c>
      <c r="L48" s="1169">
        <v>29670</v>
      </c>
      <c r="M48" s="1169">
        <v>29670</v>
      </c>
      <c r="N48" s="1938">
        <v>42260</v>
      </c>
      <c r="O48" s="1985">
        <v>33200</v>
      </c>
      <c r="P48" s="1938">
        <v>36900</v>
      </c>
      <c r="Q48" s="1169">
        <v>26000</v>
      </c>
      <c r="R48" s="1169"/>
      <c r="S48" s="1169">
        <v>26000</v>
      </c>
      <c r="T48" s="1169">
        <v>27050</v>
      </c>
      <c r="U48" s="1169">
        <v>0</v>
      </c>
      <c r="V48" s="1169">
        <v>0</v>
      </c>
      <c r="W48" s="1169">
        <v>0</v>
      </c>
      <c r="X48" s="1169">
        <v>0</v>
      </c>
      <c r="Y48" s="1169">
        <v>0</v>
      </c>
      <c r="Z48" s="1169">
        <v>0</v>
      </c>
      <c r="AA48" s="1169"/>
      <c r="AB48" s="1169">
        <v>0</v>
      </c>
      <c r="AC48" s="1169">
        <v>0</v>
      </c>
      <c r="AD48" s="1169">
        <v>27470</v>
      </c>
      <c r="AE48" s="1169">
        <v>32890</v>
      </c>
      <c r="AF48" s="1169">
        <v>24750</v>
      </c>
      <c r="AG48" s="1169">
        <v>30470</v>
      </c>
      <c r="AH48" s="1169">
        <v>31940</v>
      </c>
      <c r="AI48" s="1169">
        <v>28510</v>
      </c>
      <c r="AJ48" s="1169">
        <v>28510</v>
      </c>
      <c r="AK48" s="1169">
        <v>0</v>
      </c>
      <c r="AL48" s="1169">
        <v>36240</v>
      </c>
      <c r="AM48" s="1169">
        <v>36980</v>
      </c>
      <c r="AN48" s="1169">
        <v>37720</v>
      </c>
      <c r="AO48" s="1169">
        <v>39060</v>
      </c>
      <c r="AP48" s="1169">
        <v>44480</v>
      </c>
      <c r="AQ48" s="1169">
        <v>44480</v>
      </c>
      <c r="AR48" s="1169">
        <v>49680</v>
      </c>
      <c r="AS48" s="1169">
        <v>49680</v>
      </c>
      <c r="AT48" s="1169">
        <v>0</v>
      </c>
      <c r="AU48" s="1169">
        <v>0</v>
      </c>
      <c r="AV48" s="1169">
        <v>0</v>
      </c>
      <c r="AW48" s="1169">
        <v>0</v>
      </c>
      <c r="AX48" s="1169">
        <v>0</v>
      </c>
      <c r="AY48" s="1169">
        <v>0</v>
      </c>
      <c r="AZ48" s="1169">
        <v>0</v>
      </c>
      <c r="BA48" s="1169">
        <v>35300</v>
      </c>
      <c r="BB48" s="1169">
        <v>37500</v>
      </c>
      <c r="BC48" s="1169">
        <v>45920</v>
      </c>
      <c r="BD48" s="1169">
        <v>38420</v>
      </c>
      <c r="BE48" s="1169">
        <v>0</v>
      </c>
      <c r="BF48" s="1169">
        <v>0</v>
      </c>
      <c r="BG48" s="1169">
        <v>0</v>
      </c>
    </row>
    <row r="49" spans="2:61" s="211" customFormat="1" hidden="1" outlineLevel="1">
      <c r="B49" s="60">
        <v>9</v>
      </c>
      <c r="C49" s="619" t="s">
        <v>28</v>
      </c>
      <c r="D49" s="1283" t="s">
        <v>1391</v>
      </c>
      <c r="E49" s="585"/>
      <c r="F49" s="585"/>
      <c r="G49" s="585"/>
      <c r="H49" s="1683"/>
      <c r="I49" s="1684"/>
      <c r="J49" s="1684"/>
      <c r="K49" s="1685"/>
      <c r="L49" s="1685"/>
      <c r="M49" s="1686"/>
      <c r="N49" s="1684"/>
      <c r="O49" s="1684"/>
      <c r="P49" s="1684"/>
      <c r="Q49" s="1685"/>
      <c r="R49" s="1685"/>
      <c r="S49" s="1685"/>
      <c r="T49" s="1685"/>
      <c r="U49" s="1685"/>
      <c r="V49" s="1685"/>
      <c r="W49" s="1685"/>
      <c r="X49" s="1687"/>
      <c r="Y49" s="1687"/>
      <c r="Z49" s="1687"/>
      <c r="AA49" s="1687"/>
      <c r="AB49" s="1687"/>
      <c r="AC49" s="1687"/>
      <c r="AD49" s="1687"/>
      <c r="AE49" s="1687"/>
      <c r="AF49" s="1687"/>
      <c r="AG49" s="1687"/>
      <c r="AH49" s="1687"/>
      <c r="AI49" s="1687"/>
      <c r="AJ49" s="1687"/>
      <c r="AK49" s="1687"/>
      <c r="AL49" s="1687"/>
      <c r="AM49" s="1687"/>
      <c r="AN49" s="1687"/>
      <c r="AO49" s="1687"/>
      <c r="AP49" s="1687"/>
      <c r="AQ49" s="1687"/>
      <c r="AR49" s="1687"/>
      <c r="AS49" s="1687"/>
      <c r="AT49" s="1687"/>
      <c r="AU49" s="1687"/>
      <c r="AV49" s="1687"/>
      <c r="AW49" s="1687"/>
      <c r="AX49" s="1687"/>
      <c r="AY49" s="1687"/>
      <c r="AZ49" s="1687"/>
      <c r="BA49" s="1687"/>
      <c r="BB49" s="1687"/>
      <c r="BC49" s="1687"/>
      <c r="BD49" s="1687"/>
      <c r="BE49" s="1687"/>
      <c r="BF49" s="1687"/>
      <c r="BG49" s="1687"/>
    </row>
    <row r="50" spans="2:61" s="211" customFormat="1" hidden="1" outlineLevel="1" collapsed="1">
      <c r="C50" s="1657"/>
      <c r="D50" s="1658"/>
      <c r="E50" s="585"/>
      <c r="F50" s="585"/>
      <c r="G50" s="585"/>
      <c r="H50" s="558"/>
      <c r="I50" s="558"/>
      <c r="J50" s="546"/>
      <c r="L50" s="546"/>
      <c r="M50" s="582"/>
      <c r="N50" s="546"/>
      <c r="O50" s="546"/>
      <c r="P50" s="546"/>
      <c r="X50" s="545"/>
      <c r="Y50" s="545"/>
      <c r="Z50" s="545"/>
      <c r="AB50" s="545"/>
      <c r="AC50" s="545"/>
      <c r="AD50" s="558"/>
      <c r="AE50" s="558"/>
      <c r="AF50" s="558"/>
      <c r="AG50" s="558"/>
      <c r="AH50" s="558"/>
      <c r="AI50" s="558"/>
      <c r="AJ50" s="558"/>
      <c r="AK50" s="558"/>
      <c r="AL50" s="558"/>
      <c r="AM50" s="558"/>
      <c r="AN50" s="558"/>
      <c r="AO50" s="558"/>
      <c r="AP50" s="558"/>
      <c r="AQ50" s="558"/>
      <c r="AR50" s="558"/>
      <c r="AS50" s="558"/>
      <c r="AT50" s="558"/>
      <c r="AU50" s="558"/>
      <c r="AV50" s="558"/>
      <c r="AW50" s="558"/>
      <c r="AX50" s="558"/>
      <c r="AY50" s="558"/>
      <c r="AZ50" s="558"/>
      <c r="BA50" s="558"/>
      <c r="BB50" s="558"/>
      <c r="BC50" s="558"/>
      <c r="BD50" s="558"/>
      <c r="BE50" s="558"/>
      <c r="BF50" s="558"/>
      <c r="BG50" s="558"/>
    </row>
    <row r="51" spans="2:61" s="211" customFormat="1" collapsed="1">
      <c r="C51" s="1657"/>
      <c r="D51" s="1658"/>
      <c r="E51" s="585"/>
      <c r="F51" s="585"/>
      <c r="G51" s="585"/>
      <c r="H51" s="558"/>
      <c r="I51" s="546"/>
      <c r="J51" s="546"/>
      <c r="L51" s="546"/>
      <c r="M51" s="582"/>
      <c r="N51" s="546"/>
      <c r="O51" s="546"/>
      <c r="P51" s="546"/>
      <c r="Q51" s="477"/>
      <c r="R51" s="477"/>
      <c r="U51" s="477"/>
      <c r="V51" s="477"/>
      <c r="X51" s="545"/>
      <c r="Y51" s="545"/>
      <c r="Z51" s="545"/>
      <c r="AB51" s="545"/>
      <c r="AC51" s="545"/>
      <c r="AD51" s="558"/>
      <c r="AE51" s="477"/>
      <c r="AF51" s="546"/>
      <c r="AG51" s="546"/>
      <c r="AH51" s="546"/>
      <c r="AI51" s="546"/>
      <c r="AJ51" s="546"/>
      <c r="AM51" s="477"/>
      <c r="AN51" s="477"/>
      <c r="AO51" s="670"/>
      <c r="AP51" s="477"/>
      <c r="AQ51" s="477"/>
      <c r="AR51" s="477"/>
      <c r="AS51" s="477"/>
      <c r="AT51" s="545"/>
      <c r="AU51" s="545"/>
      <c r="AV51" s="545"/>
      <c r="AW51" s="545"/>
      <c r="AX51" s="545"/>
      <c r="AY51" s="545"/>
      <c r="AZ51" s="545"/>
      <c r="BA51" s="1023"/>
      <c r="BB51" s="1023"/>
      <c r="BC51" s="1023"/>
      <c r="BD51" s="1023"/>
    </row>
    <row r="52" spans="2:61" s="61" customFormat="1" ht="21">
      <c r="C52" s="587" t="s">
        <v>2194</v>
      </c>
      <c r="D52" s="1177"/>
      <c r="E52" s="454"/>
      <c r="F52" s="454"/>
      <c r="G52" s="454"/>
      <c r="H52" s="454"/>
      <c r="I52" s="454"/>
      <c r="J52" s="454"/>
      <c r="L52" s="454"/>
      <c r="M52" s="454"/>
      <c r="N52" s="454"/>
      <c r="O52" s="454"/>
      <c r="P52" s="454"/>
      <c r="Q52" s="454"/>
      <c r="R52" s="454"/>
      <c r="S52" s="454"/>
      <c r="T52" s="454"/>
      <c r="U52" s="454"/>
      <c r="V52" s="454"/>
      <c r="W52" s="454"/>
      <c r="X52" s="454"/>
      <c r="Y52" s="454"/>
      <c r="Z52" s="454"/>
      <c r="AB52" s="454"/>
      <c r="AC52" s="454"/>
      <c r="AD52" s="454"/>
      <c r="AE52" s="454"/>
      <c r="AF52" s="454"/>
      <c r="AG52" s="454"/>
      <c r="AH52" s="454"/>
      <c r="AI52" s="454"/>
      <c r="AJ52" s="454"/>
      <c r="AK52" s="454"/>
      <c r="AL52" s="454"/>
      <c r="AM52" s="454"/>
      <c r="AN52" s="454"/>
      <c r="AO52" s="454"/>
      <c r="AP52" s="454"/>
      <c r="AQ52" s="454"/>
      <c r="AR52" s="454"/>
      <c r="AS52" s="454"/>
      <c r="AT52" s="454"/>
      <c r="AU52" s="454"/>
      <c r="AV52" s="454"/>
      <c r="AW52" s="454"/>
      <c r="AX52" s="454"/>
      <c r="AY52" s="454"/>
      <c r="AZ52" s="454"/>
      <c r="BA52" s="454"/>
      <c r="BB52" s="454"/>
      <c r="BC52" s="454"/>
      <c r="BD52" s="454"/>
      <c r="BE52" s="454"/>
      <c r="BF52" s="454"/>
    </row>
    <row r="53" spans="2:61" s="614" customFormat="1" ht="36" hidden="1" outlineLevel="1" collapsed="1">
      <c r="D53" s="587"/>
      <c r="E53" s="1962"/>
      <c r="F53" s="1962"/>
      <c r="G53" s="1933">
        <v>0.39</v>
      </c>
      <c r="H53" s="2233" t="str">
        <f t="shared" ref="H53:Z53" si="47">H40</f>
        <v>Porte01 (Футуро0)</v>
      </c>
      <c r="I53" s="2233" t="str">
        <f t="shared" si="47"/>
        <v>Slot10-01</v>
      </c>
      <c r="J53" s="675" t="str">
        <f t="shared" si="47"/>
        <v>Slot41-02 без алюм кромки</v>
      </c>
      <c r="K53" s="1554" t="str">
        <f t="shared" si="47"/>
        <v>Slot 10-11/12 (10/02)</v>
      </c>
      <c r="L53" s="2233" t="str">
        <f t="shared" si="47"/>
        <v>Vetro11 /13/17
(Футуро1)</v>
      </c>
      <c r="M53" s="2233" t="str">
        <f t="shared" si="47"/>
        <v>Vetro12 /14</v>
      </c>
      <c r="N53" s="2233" t="str">
        <f t="shared" si="47"/>
        <v>Vetro 18 (new)</v>
      </c>
      <c r="O53" s="2233" t="str">
        <f t="shared" si="47"/>
        <v>Porte01+ зеркало с 1 стороны</v>
      </c>
      <c r="P53" s="2233" t="str">
        <f t="shared" si="47"/>
        <v>Porte01+ зеркало с 2х сторон</v>
      </c>
      <c r="Q53" s="610" t="str">
        <f t="shared" si="47"/>
        <v>серия Linea/ Twist/Lingo</v>
      </c>
      <c r="R53" s="610" t="str">
        <f t="shared" si="47"/>
        <v xml:space="preserve">серия Mezzo  </v>
      </c>
      <c r="S53" s="1159" t="str">
        <f t="shared" si="47"/>
        <v>серия 
Fusion Plane</v>
      </c>
      <c r="T53" s="610" t="str">
        <f t="shared" si="47"/>
        <v>серия 
Fusion</v>
      </c>
      <c r="U53" s="1159" t="str">
        <f t="shared" si="47"/>
        <v>серия 
Stripe</v>
      </c>
      <c r="V53" s="618" t="str">
        <f t="shared" si="47"/>
        <v>серия 
Elegance</v>
      </c>
      <c r="W53" s="1159" t="str">
        <f t="shared" si="47"/>
        <v>серия 
Belluno</v>
      </c>
      <c r="X53" s="610" t="str">
        <f t="shared" si="47"/>
        <v>Sienna ДГ</v>
      </c>
      <c r="Y53" s="610" t="str">
        <f t="shared" si="47"/>
        <v xml:space="preserve">Sienna10/ X3 </v>
      </c>
      <c r="Z53" s="616" t="str">
        <f t="shared" si="47"/>
        <v>Sienna1</v>
      </c>
      <c r="AB53" s="2233" t="str">
        <f t="shared" ref="AB53:BG53" si="48">AB40</f>
        <v>серия 
Turin1 (Византия1)</v>
      </c>
      <c r="AC53" s="617" t="str">
        <f t="shared" si="48"/>
        <v>серия
Bergamo</v>
      </c>
      <c r="AD53" s="2233" t="str">
        <f t="shared" si="48"/>
        <v>серия 
Garda</v>
      </c>
      <c r="AE53" s="610" t="str">
        <f t="shared" si="48"/>
        <v>Florence4
(Флоренция Классик)</v>
      </c>
      <c r="AF53" s="2233" t="str">
        <f t="shared" si="48"/>
        <v>Strada01
(Страда ДГ)</v>
      </c>
      <c r="AG53" s="2233" t="str">
        <f t="shared" si="48"/>
        <v>Strada11
(Страда ДО)</v>
      </c>
      <c r="AH53" s="610" t="str">
        <f t="shared" si="48"/>
        <v>Vario11 
(Варио ДО)</v>
      </c>
      <c r="AI53" s="2233" t="str">
        <f t="shared" si="48"/>
        <v>Strada14
(Зебра2 ДО)</v>
      </c>
      <c r="AJ53" s="2233" t="str">
        <f t="shared" si="48"/>
        <v>Strada15*
(Зебра4 ДО)</v>
      </c>
      <c r="AK53" s="2233" t="str">
        <f t="shared" si="48"/>
        <v>серия
жалюзи 1</v>
      </c>
      <c r="AL53" s="620" t="str">
        <f t="shared" si="48"/>
        <v>Rimini1 (new)</v>
      </c>
      <c r="AM53" s="620" t="str">
        <f t="shared" si="48"/>
        <v>Rimini2 (Римини)</v>
      </c>
      <c r="AN53" s="620" t="str">
        <f t="shared" si="48"/>
        <v>Rimini4 (Парма)</v>
      </c>
      <c r="AO53" s="620" t="str">
        <f t="shared" si="48"/>
        <v>Rosso2 (Россо2)</v>
      </c>
      <c r="AP53" s="620" t="str">
        <f t="shared" si="48"/>
        <v>Rosso7 ДГ</v>
      </c>
      <c r="AQ53" s="620" t="str">
        <f t="shared" si="48"/>
        <v>Rosso8 ДГ</v>
      </c>
      <c r="AR53" s="620" t="str">
        <f t="shared" si="48"/>
        <v>Rosso7 + фацет</v>
      </c>
      <c r="AS53" s="620" t="str">
        <f t="shared" si="48"/>
        <v>Rosso8 + фацет</v>
      </c>
      <c r="AT53" s="2233" t="str">
        <f t="shared" si="48"/>
        <v>Amelia ДГ</v>
      </c>
      <c r="AU53" s="610" t="str">
        <f t="shared" si="48"/>
        <v>серия Modena</v>
      </c>
      <c r="AV53" s="610" t="str">
        <f t="shared" si="48"/>
        <v xml:space="preserve">серия Palermo </v>
      </c>
      <c r="AW53" s="2233" t="str">
        <f t="shared" si="48"/>
        <v>Amelia с простым стеклом</v>
      </c>
      <c r="AX53" s="618" t="str">
        <f t="shared" si="48"/>
        <v>Coliseum6 / Venice6/ Arno</v>
      </c>
      <c r="AY53" s="2233" t="str">
        <f t="shared" si="48"/>
        <v>Amelia8 (Амелия1)</v>
      </c>
      <c r="AZ53" s="2233" t="str">
        <f t="shared" si="48"/>
        <v>AmeliaArc1 (Амелия5)</v>
      </c>
      <c r="BA53" s="2233" t="str">
        <f t="shared" si="48"/>
        <v>Union</v>
      </c>
      <c r="BB53" s="2233" t="str">
        <f t="shared" si="48"/>
        <v>Union Slot</v>
      </c>
      <c r="BC53" s="2233" t="str">
        <f t="shared" si="48"/>
        <v>Capriccio01 (Моцарт1); Spline</v>
      </c>
      <c r="BD53" s="2233" t="str">
        <f t="shared" si="48"/>
        <v xml:space="preserve"> Wave, без ал кромки</v>
      </c>
      <c r="BE53" s="2233" t="str">
        <f t="shared" si="48"/>
        <v>Step, Space</v>
      </c>
      <c r="BF53" s="610" t="str">
        <f t="shared" si="48"/>
        <v>Podio</v>
      </c>
      <c r="BG53" s="610" t="str">
        <f t="shared" si="48"/>
        <v>Frame</v>
      </c>
    </row>
    <row r="54" spans="2:61" s="361" customFormat="1" ht="15" hidden="1" customHeight="1" outlineLevel="1">
      <c r="B54" s="361">
        <v>1</v>
      </c>
      <c r="C54" s="1941" t="s">
        <v>231</v>
      </c>
      <c r="D54" s="1942" t="str">
        <f>C54</f>
        <v>Грунт</v>
      </c>
      <c r="E54" s="608">
        <v>0.8</v>
      </c>
      <c r="F54" s="1661"/>
      <c r="H54" s="1960">
        <f t="shared" ref="H54:Z54" si="49">H43*(1-$G$18)</f>
        <v>8814.5</v>
      </c>
      <c r="I54" s="1165">
        <f t="shared" si="49"/>
        <v>0</v>
      </c>
      <c r="J54" s="1165">
        <f t="shared" si="49"/>
        <v>0</v>
      </c>
      <c r="K54" s="1165">
        <f t="shared" si="49"/>
        <v>0</v>
      </c>
      <c r="L54" s="1165">
        <f t="shared" si="49"/>
        <v>0</v>
      </c>
      <c r="M54" s="1165">
        <f t="shared" si="49"/>
        <v>0</v>
      </c>
      <c r="N54" s="1165">
        <f t="shared" si="49"/>
        <v>25778.6</v>
      </c>
      <c r="O54" s="1165">
        <f t="shared" si="49"/>
        <v>16775</v>
      </c>
      <c r="P54" s="1165">
        <f t="shared" si="49"/>
        <v>22509</v>
      </c>
      <c r="Q54" s="1165">
        <f t="shared" si="49"/>
        <v>0</v>
      </c>
      <c r="R54" s="1165">
        <f t="shared" si="49"/>
        <v>0</v>
      </c>
      <c r="S54" s="1165">
        <f t="shared" si="49"/>
        <v>0</v>
      </c>
      <c r="T54" s="1165">
        <f t="shared" si="49"/>
        <v>0</v>
      </c>
      <c r="U54" s="1165">
        <f t="shared" si="49"/>
        <v>0</v>
      </c>
      <c r="V54" s="1165">
        <f t="shared" si="49"/>
        <v>0</v>
      </c>
      <c r="W54" s="1165">
        <f t="shared" si="49"/>
        <v>0</v>
      </c>
      <c r="X54" s="1165">
        <f t="shared" si="49"/>
        <v>0</v>
      </c>
      <c r="Y54" s="1165">
        <f t="shared" si="49"/>
        <v>0</v>
      </c>
      <c r="Z54" s="1165">
        <f t="shared" si="49"/>
        <v>0</v>
      </c>
      <c r="AB54" s="1165">
        <f t="shared" ref="AB54:BG54" si="50">AB43*(1-$G$18)</f>
        <v>0</v>
      </c>
      <c r="AC54" s="1165">
        <f t="shared" si="50"/>
        <v>0</v>
      </c>
      <c r="AD54" s="1165">
        <f t="shared" si="50"/>
        <v>0</v>
      </c>
      <c r="AE54" s="1165">
        <f t="shared" si="50"/>
        <v>0</v>
      </c>
      <c r="AF54" s="1165">
        <f t="shared" si="50"/>
        <v>0</v>
      </c>
      <c r="AG54" s="1165">
        <f t="shared" si="50"/>
        <v>0</v>
      </c>
      <c r="AH54" s="1165">
        <f t="shared" si="50"/>
        <v>0</v>
      </c>
      <c r="AI54" s="1165">
        <f t="shared" si="50"/>
        <v>0</v>
      </c>
      <c r="AJ54" s="1165">
        <f t="shared" si="50"/>
        <v>0</v>
      </c>
      <c r="AK54" s="1165">
        <f t="shared" si="50"/>
        <v>0</v>
      </c>
      <c r="AL54" s="1164">
        <f t="shared" si="50"/>
        <v>0</v>
      </c>
      <c r="AM54" s="1165">
        <f t="shared" si="50"/>
        <v>0</v>
      </c>
      <c r="AN54" s="1165">
        <f t="shared" si="50"/>
        <v>0</v>
      </c>
      <c r="AO54" s="1165">
        <f t="shared" si="50"/>
        <v>0</v>
      </c>
      <c r="AP54" s="1165">
        <f t="shared" si="50"/>
        <v>0</v>
      </c>
      <c r="AQ54" s="1165">
        <f t="shared" si="50"/>
        <v>0</v>
      </c>
      <c r="AR54" s="1939">
        <f t="shared" si="50"/>
        <v>0</v>
      </c>
      <c r="AS54" s="1939">
        <f t="shared" si="50"/>
        <v>0</v>
      </c>
      <c r="AT54" s="1165">
        <f t="shared" si="50"/>
        <v>0</v>
      </c>
      <c r="AU54" s="1165">
        <f t="shared" si="50"/>
        <v>0</v>
      </c>
      <c r="AV54" s="1165">
        <f t="shared" si="50"/>
        <v>0</v>
      </c>
      <c r="AW54" s="1939">
        <f t="shared" si="50"/>
        <v>0</v>
      </c>
      <c r="AX54" s="1165">
        <f t="shared" si="50"/>
        <v>0</v>
      </c>
      <c r="AY54" s="1165">
        <f t="shared" si="50"/>
        <v>0</v>
      </c>
      <c r="AZ54" s="1165">
        <f t="shared" si="50"/>
        <v>0</v>
      </c>
      <c r="BA54" s="1165">
        <f t="shared" si="50"/>
        <v>0</v>
      </c>
      <c r="BB54" s="1939">
        <f t="shared" si="50"/>
        <v>0</v>
      </c>
      <c r="BC54" s="1939">
        <f t="shared" si="50"/>
        <v>0</v>
      </c>
      <c r="BD54" s="1165">
        <f t="shared" si="50"/>
        <v>0</v>
      </c>
      <c r="BE54" s="1165">
        <f t="shared" si="50"/>
        <v>0</v>
      </c>
      <c r="BF54" s="1940">
        <f t="shared" si="50"/>
        <v>0</v>
      </c>
      <c r="BG54" s="1191">
        <f t="shared" si="50"/>
        <v>13050.949999999999</v>
      </c>
    </row>
    <row r="55" spans="2:61" s="1943" customFormat="1" hidden="1" outlineLevel="1">
      <c r="B55" s="1943">
        <v>4</v>
      </c>
      <c r="C55" s="1944" t="s">
        <v>28</v>
      </c>
      <c r="D55" s="1945" t="s">
        <v>207</v>
      </c>
      <c r="E55" s="1964">
        <v>1</v>
      </c>
      <c r="F55" s="1963">
        <v>1</v>
      </c>
      <c r="H55" s="1947">
        <f t="shared" ref="H55:K55" si="51">H44*(1-$G$18)</f>
        <v>11016.6</v>
      </c>
      <c r="I55" s="1947">
        <f t="shared" si="51"/>
        <v>11657.1</v>
      </c>
      <c r="J55" s="1947">
        <f t="shared" si="51"/>
        <v>13749.4</v>
      </c>
      <c r="K55" s="1947">
        <f t="shared" si="51"/>
        <v>12797.8</v>
      </c>
      <c r="L55" s="1947">
        <f>L44*(1-$G$18)</f>
        <v>14091</v>
      </c>
      <c r="M55" s="1947">
        <f t="shared" ref="M55:BG55" si="52">M44*(1-$G$18)</f>
        <v>14091</v>
      </c>
      <c r="N55" s="1947">
        <f t="shared" si="52"/>
        <v>25778.6</v>
      </c>
      <c r="O55" s="1947">
        <f t="shared" si="52"/>
        <v>17751</v>
      </c>
      <c r="P55" s="1947">
        <f t="shared" si="52"/>
        <v>22509</v>
      </c>
      <c r="Q55" s="1947">
        <f t="shared" si="52"/>
        <v>11742.5</v>
      </c>
      <c r="R55" s="1947">
        <f t="shared" si="52"/>
        <v>13450.5</v>
      </c>
      <c r="S55" s="1948">
        <f t="shared" si="52"/>
        <v>11620.5</v>
      </c>
      <c r="T55" s="1947">
        <f t="shared" si="52"/>
        <v>12261</v>
      </c>
      <c r="U55" s="1948">
        <f t="shared" si="52"/>
        <v>13450.5</v>
      </c>
      <c r="V55" s="1947">
        <f t="shared" si="52"/>
        <v>15860</v>
      </c>
      <c r="W55" s="1948">
        <f t="shared" si="52"/>
        <v>20453.3</v>
      </c>
      <c r="X55" s="1947">
        <f t="shared" si="52"/>
        <v>15860</v>
      </c>
      <c r="Y55" s="1947">
        <f t="shared" si="52"/>
        <v>17671.7</v>
      </c>
      <c r="Z55" s="1947">
        <f t="shared" si="52"/>
        <v>19483.399999999998</v>
      </c>
      <c r="AA55" s="1951"/>
      <c r="AB55" s="1947">
        <f t="shared" si="52"/>
        <v>19483.399999999998</v>
      </c>
      <c r="AC55" s="1947">
        <f t="shared" si="52"/>
        <v>22204</v>
      </c>
      <c r="AD55" s="1947">
        <f t="shared" si="52"/>
        <v>13267.5</v>
      </c>
      <c r="AE55" s="1947">
        <f t="shared" si="52"/>
        <v>0</v>
      </c>
      <c r="AF55" s="1947">
        <f t="shared" si="52"/>
        <v>15268.3</v>
      </c>
      <c r="AG55" s="1947">
        <f t="shared" si="52"/>
        <v>14945</v>
      </c>
      <c r="AH55" s="1947">
        <f t="shared" si="52"/>
        <v>16531</v>
      </c>
      <c r="AI55" s="1947">
        <f t="shared" si="52"/>
        <v>0</v>
      </c>
      <c r="AJ55" s="1947">
        <f t="shared" si="52"/>
        <v>0</v>
      </c>
      <c r="AK55" s="1947">
        <f t="shared" si="52"/>
        <v>19105.2</v>
      </c>
      <c r="AL55" s="1947">
        <f t="shared" si="52"/>
        <v>0</v>
      </c>
      <c r="AM55" s="1947">
        <f t="shared" si="52"/>
        <v>0</v>
      </c>
      <c r="AN55" s="1947">
        <f t="shared" si="52"/>
        <v>0</v>
      </c>
      <c r="AO55" s="1947">
        <f t="shared" si="52"/>
        <v>0</v>
      </c>
      <c r="AP55" s="1947">
        <f t="shared" si="52"/>
        <v>0</v>
      </c>
      <c r="AQ55" s="1947">
        <f t="shared" si="52"/>
        <v>0</v>
      </c>
      <c r="AR55" s="1948">
        <f t="shared" si="52"/>
        <v>0</v>
      </c>
      <c r="AS55" s="1948">
        <f t="shared" si="52"/>
        <v>0</v>
      </c>
      <c r="AT55" s="1947">
        <f t="shared" si="52"/>
        <v>23228.799999999999</v>
      </c>
      <c r="AU55" s="1947">
        <f t="shared" si="52"/>
        <v>26962</v>
      </c>
      <c r="AV55" s="1947">
        <f t="shared" si="52"/>
        <v>30134</v>
      </c>
      <c r="AW55" s="1948">
        <f t="shared" si="52"/>
        <v>28304</v>
      </c>
      <c r="AX55" s="1947">
        <f t="shared" si="52"/>
        <v>33306</v>
      </c>
      <c r="AY55" s="1947">
        <f t="shared" si="52"/>
        <v>37661.4</v>
      </c>
      <c r="AZ55" s="1947">
        <f t="shared" si="52"/>
        <v>37661.4</v>
      </c>
      <c r="BA55" s="1947">
        <f t="shared" si="52"/>
        <v>0</v>
      </c>
      <c r="BB55" s="1948">
        <f t="shared" si="52"/>
        <v>0</v>
      </c>
      <c r="BC55" s="1948">
        <f t="shared" si="52"/>
        <v>22496.799999999999</v>
      </c>
      <c r="BD55" s="1947">
        <f t="shared" si="52"/>
        <v>18147.5</v>
      </c>
      <c r="BE55" s="1947">
        <f t="shared" si="52"/>
        <v>17836.399999999998</v>
      </c>
      <c r="BF55" s="1949">
        <f t="shared" si="52"/>
        <v>30134</v>
      </c>
      <c r="BG55" s="1950">
        <f t="shared" si="52"/>
        <v>0</v>
      </c>
    </row>
    <row r="56" spans="2:61" s="60" customFormat="1" hidden="1" outlineLevel="1">
      <c r="B56" s="60">
        <v>5</v>
      </c>
      <c r="C56" s="619" t="s">
        <v>763</v>
      </c>
      <c r="D56" s="1166" t="s">
        <v>1281</v>
      </c>
      <c r="E56" s="608">
        <v>1.0516587677725118</v>
      </c>
      <c r="F56" s="1176">
        <v>0.93</v>
      </c>
      <c r="H56" s="1169">
        <f t="shared" ref="H56:BG56" si="53">H45*(1-$G$18)</f>
        <v>12242.699999999999</v>
      </c>
      <c r="I56" s="1169">
        <f t="shared" si="53"/>
        <v>12883.199999999999</v>
      </c>
      <c r="J56" s="1169">
        <f t="shared" si="53"/>
        <v>14975.5</v>
      </c>
      <c r="K56" s="1169">
        <f t="shared" si="53"/>
        <v>14023.9</v>
      </c>
      <c r="L56" s="1169">
        <f t="shared" si="53"/>
        <v>15445.199999999999</v>
      </c>
      <c r="M56" s="1169">
        <f t="shared" si="53"/>
        <v>15445.199999999999</v>
      </c>
      <c r="N56" s="1169">
        <f t="shared" si="53"/>
        <v>25778.6</v>
      </c>
      <c r="O56" s="1169">
        <f t="shared" si="53"/>
        <v>18696.5</v>
      </c>
      <c r="P56" s="1169">
        <f t="shared" si="53"/>
        <v>22509</v>
      </c>
      <c r="Q56" s="1169">
        <f t="shared" si="53"/>
        <v>0</v>
      </c>
      <c r="R56" s="1169">
        <f t="shared" si="53"/>
        <v>0</v>
      </c>
      <c r="S56" s="1169">
        <f t="shared" si="53"/>
        <v>0</v>
      </c>
      <c r="T56" s="1169">
        <f t="shared" si="53"/>
        <v>0</v>
      </c>
      <c r="U56" s="1169">
        <f t="shared" si="53"/>
        <v>0</v>
      </c>
      <c r="V56" s="1169">
        <f t="shared" si="53"/>
        <v>0</v>
      </c>
      <c r="W56" s="1169">
        <f t="shared" si="53"/>
        <v>0</v>
      </c>
      <c r="X56" s="1169">
        <f t="shared" si="53"/>
        <v>0</v>
      </c>
      <c r="Y56" s="1169">
        <f t="shared" si="53"/>
        <v>0</v>
      </c>
      <c r="Z56" s="1169">
        <f t="shared" si="53"/>
        <v>0</v>
      </c>
      <c r="AA56" s="359"/>
      <c r="AB56" s="1169">
        <f t="shared" si="53"/>
        <v>0</v>
      </c>
      <c r="AC56" s="1169">
        <f t="shared" si="53"/>
        <v>0</v>
      </c>
      <c r="AD56" s="1169">
        <f t="shared" si="53"/>
        <v>14298.4</v>
      </c>
      <c r="AE56" s="1169">
        <f t="shared" si="53"/>
        <v>17604.599999999999</v>
      </c>
      <c r="AF56" s="1169">
        <f t="shared" si="53"/>
        <v>12883.199999999999</v>
      </c>
      <c r="AG56" s="1169">
        <f t="shared" si="53"/>
        <v>16372.4</v>
      </c>
      <c r="AH56" s="1169">
        <f t="shared" si="53"/>
        <v>16622.5</v>
      </c>
      <c r="AI56" s="1169">
        <f t="shared" si="53"/>
        <v>14932.8</v>
      </c>
      <c r="AJ56" s="1169">
        <f t="shared" si="53"/>
        <v>14932.8</v>
      </c>
      <c r="AK56" s="1169">
        <f t="shared" si="53"/>
        <v>0</v>
      </c>
      <c r="AL56" s="1169">
        <f t="shared" si="53"/>
        <v>18861.2</v>
      </c>
      <c r="AM56" s="1169">
        <f t="shared" si="53"/>
        <v>19312.599999999999</v>
      </c>
      <c r="AN56" s="1169">
        <f t="shared" si="53"/>
        <v>19764</v>
      </c>
      <c r="AO56" s="1169">
        <f t="shared" si="53"/>
        <v>20581.399999999998</v>
      </c>
      <c r="AP56" s="1169">
        <f t="shared" si="53"/>
        <v>23887.599999999999</v>
      </c>
      <c r="AQ56" s="1169">
        <f t="shared" si="53"/>
        <v>23887.599999999999</v>
      </c>
      <c r="AR56" s="1169">
        <f t="shared" si="53"/>
        <v>27059.599999999999</v>
      </c>
      <c r="AS56" s="1169">
        <f t="shared" si="53"/>
        <v>27059.599999999999</v>
      </c>
      <c r="AT56" s="1169">
        <f t="shared" si="53"/>
        <v>0</v>
      </c>
      <c r="AU56" s="1169">
        <f t="shared" si="53"/>
        <v>0</v>
      </c>
      <c r="AV56" s="1169">
        <f t="shared" si="53"/>
        <v>0</v>
      </c>
      <c r="AW56" s="1169">
        <f t="shared" si="53"/>
        <v>0</v>
      </c>
      <c r="AX56" s="1169">
        <f t="shared" si="53"/>
        <v>0</v>
      </c>
      <c r="AY56" s="1169">
        <f t="shared" si="53"/>
        <v>0</v>
      </c>
      <c r="AZ56" s="1169">
        <f t="shared" si="53"/>
        <v>0</v>
      </c>
      <c r="BA56" s="1169">
        <f t="shared" si="53"/>
        <v>18373.2</v>
      </c>
      <c r="BB56" s="1169">
        <f t="shared" si="53"/>
        <v>19715.2</v>
      </c>
      <c r="BC56" s="1169">
        <f t="shared" si="53"/>
        <v>24851.399999999998</v>
      </c>
      <c r="BD56" s="1169">
        <f t="shared" si="53"/>
        <v>20276.399999999998</v>
      </c>
      <c r="BE56" s="1169">
        <f t="shared" si="53"/>
        <v>0</v>
      </c>
      <c r="BF56" s="1169">
        <f t="shared" si="53"/>
        <v>0</v>
      </c>
      <c r="BG56" s="1169">
        <f t="shared" si="53"/>
        <v>0</v>
      </c>
    </row>
    <row r="57" spans="2:61" s="1943" customFormat="1" hidden="1" outlineLevel="1">
      <c r="B57" s="1943">
        <v>6</v>
      </c>
      <c r="C57" s="1944" t="s">
        <v>763</v>
      </c>
      <c r="D57" s="1952" t="s">
        <v>1282</v>
      </c>
      <c r="E57" s="1953">
        <v>1.1303317535545023</v>
      </c>
      <c r="F57" s="1954">
        <v>1</v>
      </c>
      <c r="H57" s="934">
        <f t="shared" ref="H57:BG57" si="54">H46*(1-$G$18)</f>
        <v>13157.699999999999</v>
      </c>
      <c r="I57" s="1961">
        <f t="shared" si="54"/>
        <v>13798.199999999999</v>
      </c>
      <c r="J57" s="1961">
        <f t="shared" si="54"/>
        <v>15890.5</v>
      </c>
      <c r="K57" s="1961">
        <f t="shared" si="54"/>
        <v>14938.9</v>
      </c>
      <c r="L57" s="934">
        <f t="shared" si="54"/>
        <v>16604.2</v>
      </c>
      <c r="M57" s="1955">
        <f t="shared" si="54"/>
        <v>16604.2</v>
      </c>
      <c r="N57" s="1955">
        <f t="shared" si="54"/>
        <v>25778.6</v>
      </c>
      <c r="O57" s="1955">
        <f t="shared" si="54"/>
        <v>19367.5</v>
      </c>
      <c r="P57" s="1955">
        <f t="shared" si="54"/>
        <v>22509</v>
      </c>
      <c r="Q57" s="1955">
        <f t="shared" si="54"/>
        <v>0</v>
      </c>
      <c r="R57" s="1955">
        <f t="shared" si="54"/>
        <v>0</v>
      </c>
      <c r="S57" s="1955">
        <f t="shared" si="54"/>
        <v>0</v>
      </c>
      <c r="T57" s="1955">
        <f t="shared" si="54"/>
        <v>0</v>
      </c>
      <c r="U57" s="1955">
        <f t="shared" si="54"/>
        <v>0</v>
      </c>
      <c r="V57" s="1955">
        <f t="shared" si="54"/>
        <v>0</v>
      </c>
      <c r="W57" s="1955">
        <f t="shared" si="54"/>
        <v>0</v>
      </c>
      <c r="X57" s="1955">
        <f t="shared" si="54"/>
        <v>0</v>
      </c>
      <c r="Y57" s="1955">
        <f t="shared" si="54"/>
        <v>0</v>
      </c>
      <c r="Z57" s="1955">
        <f t="shared" si="54"/>
        <v>0</v>
      </c>
      <c r="AA57" s="1959"/>
      <c r="AB57" s="1955">
        <f t="shared" si="54"/>
        <v>0</v>
      </c>
      <c r="AC57" s="1955">
        <f t="shared" si="54"/>
        <v>0</v>
      </c>
      <c r="AD57" s="934">
        <f t="shared" si="54"/>
        <v>15372</v>
      </c>
      <c r="AE57" s="1955">
        <f t="shared" si="54"/>
        <v>18678.2</v>
      </c>
      <c r="AF57" s="1955">
        <f t="shared" si="54"/>
        <v>13847</v>
      </c>
      <c r="AG57" s="1955">
        <f t="shared" si="54"/>
        <v>17336.2</v>
      </c>
      <c r="AH57" s="1955">
        <f t="shared" si="54"/>
        <v>17873</v>
      </c>
      <c r="AI57" s="1955">
        <f t="shared" si="54"/>
        <v>13847</v>
      </c>
      <c r="AJ57" s="1955">
        <f t="shared" si="54"/>
        <v>13847</v>
      </c>
      <c r="AK57" s="1955">
        <f t="shared" si="54"/>
        <v>0</v>
      </c>
      <c r="AL57" s="934">
        <f t="shared" si="54"/>
        <v>20276.399999999998</v>
      </c>
      <c r="AM57" s="1955">
        <f t="shared" si="54"/>
        <v>20727.8</v>
      </c>
      <c r="AN57" s="1955">
        <f t="shared" si="54"/>
        <v>21179.200000000001</v>
      </c>
      <c r="AO57" s="1955">
        <f t="shared" si="54"/>
        <v>21996.6</v>
      </c>
      <c r="AP57" s="1955">
        <f t="shared" si="54"/>
        <v>25302.799999999999</v>
      </c>
      <c r="AQ57" s="1955">
        <f t="shared" si="54"/>
        <v>25302.799999999999</v>
      </c>
      <c r="AR57" s="1956">
        <f t="shared" si="54"/>
        <v>28474.799999999999</v>
      </c>
      <c r="AS57" s="1956">
        <f t="shared" si="54"/>
        <v>28474.799999999999</v>
      </c>
      <c r="AT57" s="1955">
        <f t="shared" si="54"/>
        <v>0</v>
      </c>
      <c r="AU57" s="1955">
        <f t="shared" si="54"/>
        <v>0</v>
      </c>
      <c r="AV57" s="1955">
        <f t="shared" si="54"/>
        <v>0</v>
      </c>
      <c r="AW57" s="1956">
        <f t="shared" si="54"/>
        <v>0</v>
      </c>
      <c r="AX57" s="1955">
        <f t="shared" si="54"/>
        <v>0</v>
      </c>
      <c r="AY57" s="1955">
        <f t="shared" si="54"/>
        <v>0</v>
      </c>
      <c r="AZ57" s="1955">
        <f t="shared" si="54"/>
        <v>0</v>
      </c>
      <c r="BA57" s="934">
        <f t="shared" si="54"/>
        <v>19751.8</v>
      </c>
      <c r="BB57" s="1955">
        <f t="shared" si="54"/>
        <v>21093.8</v>
      </c>
      <c r="BC57" s="1955">
        <f t="shared" si="54"/>
        <v>26230</v>
      </c>
      <c r="BD57" s="1955">
        <f t="shared" si="54"/>
        <v>21655</v>
      </c>
      <c r="BE57" s="1955">
        <f t="shared" si="54"/>
        <v>0</v>
      </c>
      <c r="BF57" s="1957">
        <f t="shared" si="54"/>
        <v>0</v>
      </c>
      <c r="BG57" s="1958">
        <f t="shared" si="54"/>
        <v>0</v>
      </c>
    </row>
    <row r="58" spans="2:61" s="60" customFormat="1" hidden="1" outlineLevel="1">
      <c r="B58" s="60">
        <v>7</v>
      </c>
      <c r="C58" s="619" t="s">
        <v>1807</v>
      </c>
      <c r="D58" s="1166" t="s">
        <v>1808</v>
      </c>
      <c r="E58" s="608">
        <v>1.1815165876777252</v>
      </c>
      <c r="F58" s="1176">
        <v>1.0449999999999999</v>
      </c>
      <c r="H58" s="1169">
        <f t="shared" ref="H58:BG58" si="55">H47*(1-$G$18)</f>
        <v>13755.5</v>
      </c>
      <c r="I58" s="1169">
        <f t="shared" si="55"/>
        <v>14396</v>
      </c>
      <c r="J58" s="1169">
        <f t="shared" si="55"/>
        <v>16488.3</v>
      </c>
      <c r="K58" s="1169">
        <f t="shared" si="55"/>
        <v>15536.699999999999</v>
      </c>
      <c r="L58" s="1169">
        <f t="shared" si="55"/>
        <v>17354.5</v>
      </c>
      <c r="M58" s="1169">
        <f t="shared" si="55"/>
        <v>17354.5</v>
      </c>
      <c r="N58" s="1169">
        <f t="shared" si="55"/>
        <v>25778.6</v>
      </c>
      <c r="O58" s="1169">
        <f t="shared" si="55"/>
        <v>19825</v>
      </c>
      <c r="P58" s="1169">
        <f t="shared" si="55"/>
        <v>22509</v>
      </c>
      <c r="Q58" s="1169">
        <f t="shared" si="55"/>
        <v>0</v>
      </c>
      <c r="R58" s="1169">
        <f t="shared" si="55"/>
        <v>0</v>
      </c>
      <c r="S58" s="1169">
        <f t="shared" si="55"/>
        <v>0</v>
      </c>
      <c r="T58" s="1169">
        <f t="shared" si="55"/>
        <v>0</v>
      </c>
      <c r="U58" s="1169">
        <f t="shared" si="55"/>
        <v>0</v>
      </c>
      <c r="V58" s="1169">
        <f t="shared" si="55"/>
        <v>0</v>
      </c>
      <c r="W58" s="1169">
        <f t="shared" si="55"/>
        <v>0</v>
      </c>
      <c r="X58" s="1169">
        <f t="shared" si="55"/>
        <v>0</v>
      </c>
      <c r="Y58" s="1169">
        <f t="shared" si="55"/>
        <v>0</v>
      </c>
      <c r="Z58" s="1169">
        <f t="shared" si="55"/>
        <v>0</v>
      </c>
      <c r="AA58" s="359"/>
      <c r="AB58" s="1169">
        <f t="shared" si="55"/>
        <v>0</v>
      </c>
      <c r="AC58" s="1169">
        <f t="shared" si="55"/>
        <v>0</v>
      </c>
      <c r="AD58" s="1169">
        <f t="shared" si="55"/>
        <v>0</v>
      </c>
      <c r="AE58" s="1169">
        <f t="shared" si="55"/>
        <v>0</v>
      </c>
      <c r="AF58" s="1169">
        <f t="shared" si="55"/>
        <v>0</v>
      </c>
      <c r="AG58" s="1169">
        <f t="shared" si="55"/>
        <v>0</v>
      </c>
      <c r="AH58" s="1169">
        <f t="shared" si="55"/>
        <v>0</v>
      </c>
      <c r="AI58" s="1169">
        <f t="shared" si="55"/>
        <v>0</v>
      </c>
      <c r="AJ58" s="1169">
        <f t="shared" si="55"/>
        <v>0</v>
      </c>
      <c r="AK58" s="1169">
        <f t="shared" si="55"/>
        <v>0</v>
      </c>
      <c r="AL58" s="1169">
        <f t="shared" si="55"/>
        <v>21191.399999999998</v>
      </c>
      <c r="AM58" s="1169">
        <f t="shared" si="55"/>
        <v>21642.799999999999</v>
      </c>
      <c r="AN58" s="1169">
        <f t="shared" si="55"/>
        <v>22094.2</v>
      </c>
      <c r="AO58" s="1169">
        <f t="shared" si="55"/>
        <v>22911.599999999999</v>
      </c>
      <c r="AP58" s="1169">
        <f t="shared" si="55"/>
        <v>26217.8</v>
      </c>
      <c r="AQ58" s="1169">
        <f t="shared" si="55"/>
        <v>26217.8</v>
      </c>
      <c r="AR58" s="1169">
        <f t="shared" si="55"/>
        <v>29389.8</v>
      </c>
      <c r="AS58" s="1169">
        <f t="shared" si="55"/>
        <v>29389.8</v>
      </c>
      <c r="AT58" s="1169">
        <f t="shared" si="55"/>
        <v>0</v>
      </c>
      <c r="AU58" s="1169">
        <f t="shared" si="55"/>
        <v>0</v>
      </c>
      <c r="AV58" s="1169">
        <f t="shared" si="55"/>
        <v>0</v>
      </c>
      <c r="AW58" s="1169">
        <f t="shared" si="55"/>
        <v>0</v>
      </c>
      <c r="AX58" s="1169">
        <f t="shared" si="55"/>
        <v>0</v>
      </c>
      <c r="AY58" s="1169">
        <f t="shared" si="55"/>
        <v>0</v>
      </c>
      <c r="AZ58" s="1169">
        <f t="shared" si="55"/>
        <v>0</v>
      </c>
      <c r="BA58" s="1169">
        <f t="shared" si="55"/>
        <v>20642.399999999998</v>
      </c>
      <c r="BB58" s="1169">
        <f t="shared" si="55"/>
        <v>21984.399999999998</v>
      </c>
      <c r="BC58" s="1169">
        <f t="shared" si="55"/>
        <v>27120.6</v>
      </c>
      <c r="BD58" s="1169">
        <f t="shared" si="55"/>
        <v>22545.599999999999</v>
      </c>
      <c r="BE58" s="1169">
        <f t="shared" si="55"/>
        <v>0</v>
      </c>
      <c r="BF58" s="1169">
        <f t="shared" si="55"/>
        <v>0</v>
      </c>
      <c r="BG58" s="1169">
        <f t="shared" si="55"/>
        <v>0</v>
      </c>
    </row>
    <row r="59" spans="2:61" s="60" customFormat="1" hidden="1" outlineLevel="1">
      <c r="B59" s="60">
        <v>8</v>
      </c>
      <c r="C59" s="619" t="s">
        <v>28</v>
      </c>
      <c r="D59" s="1166" t="s">
        <v>1283</v>
      </c>
      <c r="E59" s="608">
        <v>1.2322274881516588</v>
      </c>
      <c r="F59" s="1176">
        <v>1.0900000000000001</v>
      </c>
      <c r="H59" s="1169">
        <f t="shared" ref="H59:BG59" si="56">H48*(1-$G$18)</f>
        <v>14347.199999999999</v>
      </c>
      <c r="I59" s="1169">
        <f t="shared" si="56"/>
        <v>14987.699999999999</v>
      </c>
      <c r="J59" s="1169">
        <f t="shared" si="56"/>
        <v>17080</v>
      </c>
      <c r="K59" s="1169">
        <f t="shared" si="56"/>
        <v>16128.4</v>
      </c>
      <c r="L59" s="1169">
        <f t="shared" si="56"/>
        <v>18098.7</v>
      </c>
      <c r="M59" s="1169">
        <f t="shared" si="56"/>
        <v>18098.7</v>
      </c>
      <c r="N59" s="1169">
        <f t="shared" si="56"/>
        <v>25778.6</v>
      </c>
      <c r="O59" s="1169">
        <f t="shared" si="56"/>
        <v>20252</v>
      </c>
      <c r="P59" s="1169">
        <f t="shared" si="56"/>
        <v>22509</v>
      </c>
      <c r="Q59" s="1169">
        <f t="shared" si="56"/>
        <v>15860</v>
      </c>
      <c r="R59" s="1169">
        <f t="shared" si="56"/>
        <v>0</v>
      </c>
      <c r="S59" s="1169">
        <f t="shared" si="56"/>
        <v>15860</v>
      </c>
      <c r="T59" s="1169">
        <f t="shared" si="56"/>
        <v>16500.5</v>
      </c>
      <c r="U59" s="1169">
        <f t="shared" si="56"/>
        <v>0</v>
      </c>
      <c r="V59" s="1169">
        <f t="shared" si="56"/>
        <v>0</v>
      </c>
      <c r="W59" s="1169">
        <f t="shared" si="56"/>
        <v>0</v>
      </c>
      <c r="X59" s="1169">
        <f t="shared" si="56"/>
        <v>0</v>
      </c>
      <c r="Y59" s="1169">
        <f t="shared" si="56"/>
        <v>0</v>
      </c>
      <c r="Z59" s="1169">
        <f t="shared" si="56"/>
        <v>0</v>
      </c>
      <c r="AB59" s="1169">
        <f t="shared" si="56"/>
        <v>0</v>
      </c>
      <c r="AC59" s="1169">
        <f t="shared" si="56"/>
        <v>0</v>
      </c>
      <c r="AD59" s="1169">
        <f t="shared" si="56"/>
        <v>16756.7</v>
      </c>
      <c r="AE59" s="1169">
        <f t="shared" si="56"/>
        <v>20062.899999999998</v>
      </c>
      <c r="AF59" s="1169">
        <f t="shared" si="56"/>
        <v>15097.5</v>
      </c>
      <c r="AG59" s="1169">
        <f t="shared" si="56"/>
        <v>18586.7</v>
      </c>
      <c r="AH59" s="1169">
        <f t="shared" si="56"/>
        <v>19483.399999999998</v>
      </c>
      <c r="AI59" s="1169">
        <f t="shared" si="56"/>
        <v>17391.099999999999</v>
      </c>
      <c r="AJ59" s="1169">
        <f t="shared" si="56"/>
        <v>17391.099999999999</v>
      </c>
      <c r="AK59" s="1169">
        <f t="shared" si="56"/>
        <v>0</v>
      </c>
      <c r="AL59" s="1169">
        <f t="shared" si="56"/>
        <v>22106.399999999998</v>
      </c>
      <c r="AM59" s="1169">
        <f t="shared" si="56"/>
        <v>22557.8</v>
      </c>
      <c r="AN59" s="1169">
        <f t="shared" si="56"/>
        <v>23009.200000000001</v>
      </c>
      <c r="AO59" s="1169">
        <f t="shared" si="56"/>
        <v>23826.6</v>
      </c>
      <c r="AP59" s="1169">
        <f t="shared" si="56"/>
        <v>27132.799999999999</v>
      </c>
      <c r="AQ59" s="1169">
        <f t="shared" si="56"/>
        <v>27132.799999999999</v>
      </c>
      <c r="AR59" s="1169">
        <f t="shared" si="56"/>
        <v>30304.799999999999</v>
      </c>
      <c r="AS59" s="1169">
        <f t="shared" si="56"/>
        <v>30304.799999999999</v>
      </c>
      <c r="AT59" s="1169">
        <f t="shared" si="56"/>
        <v>0</v>
      </c>
      <c r="AU59" s="1169">
        <f t="shared" si="56"/>
        <v>0</v>
      </c>
      <c r="AV59" s="1169">
        <f t="shared" si="56"/>
        <v>0</v>
      </c>
      <c r="AW59" s="1169">
        <f t="shared" si="56"/>
        <v>0</v>
      </c>
      <c r="AX59" s="1169">
        <f t="shared" si="56"/>
        <v>0</v>
      </c>
      <c r="AY59" s="1169">
        <f t="shared" si="56"/>
        <v>0</v>
      </c>
      <c r="AZ59" s="1169">
        <f t="shared" si="56"/>
        <v>0</v>
      </c>
      <c r="BA59" s="1169">
        <f t="shared" si="56"/>
        <v>21533</v>
      </c>
      <c r="BB59" s="1169">
        <f t="shared" si="56"/>
        <v>22875</v>
      </c>
      <c r="BC59" s="1169">
        <f t="shared" si="56"/>
        <v>28011.200000000001</v>
      </c>
      <c r="BD59" s="1169">
        <f t="shared" si="56"/>
        <v>23436.2</v>
      </c>
      <c r="BE59" s="1169">
        <f t="shared" si="56"/>
        <v>0</v>
      </c>
      <c r="BF59" s="1169">
        <f t="shared" si="56"/>
        <v>0</v>
      </c>
      <c r="BG59" s="1169">
        <f t="shared" si="56"/>
        <v>0</v>
      </c>
    </row>
    <row r="60" spans="2:61" s="211" customFormat="1" hidden="1" outlineLevel="1">
      <c r="B60" s="60">
        <v>9</v>
      </c>
      <c r="C60" s="619" t="s">
        <v>28</v>
      </c>
      <c r="D60" s="1283" t="s">
        <v>1391</v>
      </c>
      <c r="E60" s="585"/>
      <c r="F60" s="585"/>
      <c r="G60" s="585"/>
      <c r="H60" s="1683"/>
      <c r="I60" s="1684"/>
      <c r="J60" s="1684"/>
      <c r="K60" s="1685"/>
      <c r="L60" s="1685"/>
      <c r="M60" s="1686"/>
      <c r="N60" s="1684"/>
      <c r="O60" s="1684"/>
      <c r="P60" s="1684"/>
      <c r="Q60" s="1685"/>
      <c r="R60" s="1685"/>
      <c r="S60" s="1685"/>
      <c r="T60" s="1685"/>
      <c r="U60" s="1685"/>
      <c r="V60" s="1685"/>
      <c r="W60" s="1685"/>
      <c r="X60" s="1687"/>
      <c r="Y60" s="1687"/>
      <c r="Z60" s="1687"/>
      <c r="AB60" s="1687"/>
      <c r="AC60" s="1687"/>
      <c r="AD60" s="1687"/>
      <c r="AE60" s="1687"/>
      <c r="AF60" s="1687"/>
      <c r="AG60" s="1687"/>
      <c r="AH60" s="1687"/>
      <c r="AI60" s="1687"/>
      <c r="AJ60" s="1687"/>
      <c r="AK60" s="1687"/>
      <c r="AL60" s="1687"/>
      <c r="AM60" s="1687"/>
      <c r="AN60" s="1687"/>
      <c r="AO60" s="1687"/>
      <c r="AP60" s="1687"/>
      <c r="AQ60" s="1687"/>
      <c r="AR60" s="1687"/>
      <c r="AS60" s="1687"/>
      <c r="AT60" s="1687"/>
      <c r="AU60" s="1687"/>
      <c r="AV60" s="1687"/>
      <c r="AW60" s="1687"/>
      <c r="AX60" s="1687"/>
      <c r="AY60" s="1687"/>
      <c r="AZ60" s="1687"/>
      <c r="BA60" s="1687"/>
      <c r="BB60" s="1687"/>
      <c r="BC60" s="1687"/>
      <c r="BD60" s="1687"/>
      <c r="BE60" s="1687"/>
      <c r="BF60" s="1687"/>
      <c r="BG60" s="1687"/>
    </row>
    <row r="61" spans="2:61" s="211" customFormat="1" hidden="1" outlineLevel="1"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5"/>
      <c r="T61" s="585"/>
      <c r="U61" s="585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585"/>
      <c r="AI61" s="585"/>
      <c r="AJ61" s="585"/>
      <c r="AK61" s="585"/>
      <c r="AL61" s="585"/>
      <c r="AM61" s="585"/>
      <c r="AN61" s="585"/>
      <c r="AO61" s="585"/>
      <c r="AP61" s="585"/>
      <c r="AQ61" s="585"/>
      <c r="AR61" s="585"/>
      <c r="AS61" s="585"/>
      <c r="AT61" s="585"/>
      <c r="AU61" s="585"/>
      <c r="AV61" s="585"/>
      <c r="AW61" s="585"/>
      <c r="AX61" s="585"/>
      <c r="AY61" s="585"/>
      <c r="AZ61" s="585"/>
      <c r="BA61" s="585"/>
      <c r="BB61" s="585"/>
      <c r="BC61" s="585"/>
      <c r="BD61" s="585"/>
      <c r="BE61" s="585"/>
      <c r="BF61" s="585"/>
      <c r="BG61" s="585"/>
      <c r="BH61" s="585"/>
      <c r="BI61" s="585"/>
    </row>
    <row r="62" spans="2:61" s="211" customFormat="1" collapsed="1"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5"/>
      <c r="T62" s="585"/>
      <c r="U62" s="585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585"/>
      <c r="AI62" s="585"/>
      <c r="AJ62" s="585"/>
      <c r="AK62" s="585"/>
      <c r="AL62" s="585"/>
      <c r="AM62" s="585"/>
      <c r="AN62" s="585"/>
      <c r="AO62" s="585"/>
      <c r="AP62" s="585"/>
      <c r="AQ62" s="585"/>
      <c r="AR62" s="585"/>
      <c r="AS62" s="585"/>
      <c r="AT62" s="585"/>
      <c r="AU62" s="585"/>
      <c r="AV62" s="585"/>
      <c r="AW62" s="585"/>
      <c r="AX62" s="585"/>
      <c r="AY62" s="585"/>
      <c r="AZ62" s="585"/>
      <c r="BA62" s="585"/>
      <c r="BB62" s="585"/>
      <c r="BC62" s="585"/>
      <c r="BD62" s="585"/>
      <c r="BE62" s="585"/>
      <c r="BF62" s="585"/>
      <c r="BG62" s="585"/>
      <c r="BH62" s="585"/>
      <c r="BI62" s="585"/>
    </row>
    <row r="63" spans="2:61" s="61" customFormat="1">
      <c r="C63" s="1659" t="s">
        <v>2060</v>
      </c>
      <c r="D63" s="1660"/>
      <c r="E63" s="583"/>
      <c r="F63" s="583"/>
      <c r="G63" s="1783"/>
      <c r="H63" s="1390" t="s">
        <v>618</v>
      </c>
      <c r="I63" s="1390" t="s">
        <v>618</v>
      </c>
      <c r="J63" s="1390" t="s">
        <v>618</v>
      </c>
      <c r="K63" s="1170" t="s">
        <v>618</v>
      </c>
      <c r="L63" s="1390" t="s">
        <v>618</v>
      </c>
      <c r="M63" s="1390" t="s">
        <v>618</v>
      </c>
      <c r="N63" s="1390" t="s">
        <v>1621</v>
      </c>
      <c r="O63" s="1390"/>
      <c r="P63" s="1390"/>
      <c r="Q63" s="1390" t="s">
        <v>718</v>
      </c>
      <c r="R63" s="1390" t="s">
        <v>718</v>
      </c>
      <c r="S63" s="1390" t="s">
        <v>621</v>
      </c>
      <c r="T63" s="1390" t="s">
        <v>621</v>
      </c>
      <c r="U63" s="1391" t="s">
        <v>1286</v>
      </c>
      <c r="V63" s="1390" t="s">
        <v>598</v>
      </c>
      <c r="W63" s="1391" t="s">
        <v>1286</v>
      </c>
      <c r="X63" s="1390" t="s">
        <v>1620</v>
      </c>
      <c r="Y63" s="1390" t="s">
        <v>1620</v>
      </c>
      <c r="Z63" s="1390" t="s">
        <v>1620</v>
      </c>
      <c r="AB63" s="1390" t="s">
        <v>1423</v>
      </c>
      <c r="AC63" s="1391"/>
      <c r="AD63" s="1170" t="s">
        <v>1137</v>
      </c>
      <c r="AE63" s="1170" t="s">
        <v>1137</v>
      </c>
      <c r="AF63" s="1170"/>
      <c r="AG63" s="1170"/>
      <c r="AH63" s="1170"/>
      <c r="AI63" s="1170"/>
      <c r="AJ63" s="1170"/>
      <c r="AK63" s="1170"/>
      <c r="AL63" s="1391"/>
      <c r="AM63" s="1170"/>
      <c r="AN63" s="1170"/>
      <c r="AO63" s="1170"/>
      <c r="AP63" s="1170"/>
      <c r="AQ63" s="1170"/>
      <c r="AR63" s="1170"/>
      <c r="AS63" s="1170"/>
      <c r="AT63" s="1170"/>
      <c r="AU63" s="1170"/>
      <c r="AV63" s="1170"/>
      <c r="AW63" s="1170"/>
      <c r="AX63" s="1170"/>
      <c r="AY63" s="1170"/>
      <c r="AZ63" s="1170"/>
      <c r="BA63" s="1170"/>
      <c r="BB63" s="1170"/>
      <c r="BC63" s="1170"/>
      <c r="BD63" s="1170"/>
      <c r="BE63" s="1170"/>
      <c r="BF63" s="1170"/>
      <c r="BG63" s="61" t="s">
        <v>1765</v>
      </c>
    </row>
    <row r="64" spans="2:61" s="614" customFormat="1" ht="36" hidden="1" outlineLevel="1" collapsed="1">
      <c r="D64" s="587"/>
      <c r="E64" s="1962" t="s">
        <v>1918</v>
      </c>
      <c r="F64" s="1962" t="s">
        <v>1919</v>
      </c>
      <c r="G64" s="1933" t="s">
        <v>927</v>
      </c>
      <c r="H64" s="2364" t="s">
        <v>817</v>
      </c>
      <c r="I64" s="2364" t="s">
        <v>1252</v>
      </c>
      <c r="J64" s="675" t="s">
        <v>1256</v>
      </c>
      <c r="K64" s="1554" t="s">
        <v>1619</v>
      </c>
      <c r="L64" s="2364" t="s">
        <v>1257</v>
      </c>
      <c r="M64" s="2364" t="s">
        <v>1269</v>
      </c>
      <c r="N64" s="2364" t="s">
        <v>908</v>
      </c>
      <c r="O64" s="2364" t="s">
        <v>1924</v>
      </c>
      <c r="P64" s="2364" t="s">
        <v>1925</v>
      </c>
      <c r="Q64" s="610" t="s">
        <v>1932</v>
      </c>
      <c r="R64" s="610" t="s">
        <v>1933</v>
      </c>
      <c r="S64" s="1159" t="s">
        <v>1253</v>
      </c>
      <c r="T64" s="610" t="s">
        <v>1250</v>
      </c>
      <c r="U64" s="1159" t="s">
        <v>1254</v>
      </c>
      <c r="V64" s="618" t="s">
        <v>1249</v>
      </c>
      <c r="W64" s="1159" t="s">
        <v>1255</v>
      </c>
      <c r="X64" s="610" t="s">
        <v>1049</v>
      </c>
      <c r="Y64" s="610" t="s">
        <v>1261</v>
      </c>
      <c r="Z64" s="616" t="s">
        <v>1262</v>
      </c>
      <c r="AA64" s="616" t="s">
        <v>2083</v>
      </c>
      <c r="AB64" s="2364" t="s">
        <v>1248</v>
      </c>
      <c r="AC64" s="617" t="s">
        <v>1247</v>
      </c>
      <c r="AD64" s="2364" t="s">
        <v>1285</v>
      </c>
      <c r="AE64" s="610" t="s">
        <v>807</v>
      </c>
      <c r="AF64" s="2364" t="s">
        <v>812</v>
      </c>
      <c r="AG64" s="2364" t="s">
        <v>813</v>
      </c>
      <c r="AH64" s="610" t="s">
        <v>816</v>
      </c>
      <c r="AI64" s="2364" t="s">
        <v>814</v>
      </c>
      <c r="AJ64" s="2364" t="s">
        <v>815</v>
      </c>
      <c r="AK64" s="2364" t="s">
        <v>1251</v>
      </c>
      <c r="AL64" s="620" t="s">
        <v>809</v>
      </c>
      <c r="AM64" s="620" t="s">
        <v>808</v>
      </c>
      <c r="AN64" s="620" t="s">
        <v>810</v>
      </c>
      <c r="AO64" s="620" t="s">
        <v>811</v>
      </c>
      <c r="AP64" s="620" t="s">
        <v>1050</v>
      </c>
      <c r="AQ64" s="620" t="s">
        <v>1051</v>
      </c>
      <c r="AR64" s="620" t="s">
        <v>1279</v>
      </c>
      <c r="AS64" s="620" t="s">
        <v>1280</v>
      </c>
      <c r="AT64" s="2364" t="s">
        <v>1138</v>
      </c>
      <c r="AU64" s="610" t="s">
        <v>1258</v>
      </c>
      <c r="AV64" s="610" t="s">
        <v>1622</v>
      </c>
      <c r="AW64" s="2364" t="s">
        <v>1260</v>
      </c>
      <c r="AX64" s="618" t="s">
        <v>1259</v>
      </c>
      <c r="AY64" s="2364" t="s">
        <v>818</v>
      </c>
      <c r="AZ64" s="2364" t="s">
        <v>819</v>
      </c>
      <c r="BA64" s="2364" t="s">
        <v>1273</v>
      </c>
      <c r="BB64" s="2364" t="s">
        <v>1271</v>
      </c>
      <c r="BC64" s="2364" t="s">
        <v>1263</v>
      </c>
      <c r="BD64" s="2364" t="s">
        <v>1425</v>
      </c>
      <c r="BE64" s="2364" t="s">
        <v>1930</v>
      </c>
      <c r="BF64" s="610" t="s">
        <v>1931</v>
      </c>
      <c r="BG64" s="610" t="s">
        <v>1764</v>
      </c>
    </row>
    <row r="65" spans="1:59" s="361" customFormat="1" ht="15" hidden="1" customHeight="1" outlineLevel="1">
      <c r="A65" s="1936"/>
      <c r="B65" s="361">
        <v>1</v>
      </c>
      <c r="C65" s="1941" t="s">
        <v>231</v>
      </c>
      <c r="D65" s="1942" t="str">
        <f>C65</f>
        <v>Грунт</v>
      </c>
      <c r="E65" s="608">
        <v>0.8</v>
      </c>
      <c r="F65" s="1661"/>
      <c r="G65" s="1661"/>
      <c r="H65" s="2240">
        <f>H19/H54-1</f>
        <v>5.1903114186851118E-2</v>
      </c>
      <c r="I65" s="2240"/>
      <c r="J65" s="2240"/>
      <c r="K65" s="2240"/>
      <c r="L65" s="2240"/>
      <c r="M65" s="2240"/>
      <c r="N65" s="2240">
        <f t="shared" ref="I65:BG70" si="57">N19/N54-1</f>
        <v>5.418835778513964E-2</v>
      </c>
      <c r="O65" s="2240">
        <f t="shared" si="57"/>
        <v>5.4545454545454453E-2</v>
      </c>
      <c r="P65" s="2240">
        <f t="shared" si="57"/>
        <v>5.4200542005420127E-2</v>
      </c>
      <c r="Q65" s="2240"/>
      <c r="R65" s="2240"/>
      <c r="S65" s="2240"/>
      <c r="T65" s="2240"/>
      <c r="U65" s="2240"/>
      <c r="V65" s="2240"/>
      <c r="W65" s="2240"/>
      <c r="X65" s="2240"/>
      <c r="Y65" s="2240"/>
      <c r="Z65" s="2240"/>
      <c r="AA65" s="2240"/>
      <c r="AB65" s="2240"/>
      <c r="AC65" s="2240"/>
      <c r="AD65" s="2240"/>
      <c r="AE65" s="2240"/>
      <c r="AF65" s="2240"/>
      <c r="AG65" s="2240"/>
      <c r="AH65" s="2240"/>
      <c r="AI65" s="2240"/>
      <c r="AJ65" s="2240"/>
      <c r="AK65" s="2240"/>
      <c r="AL65" s="2240"/>
      <c r="AM65" s="2240"/>
      <c r="AN65" s="2240"/>
      <c r="AO65" s="2240"/>
      <c r="AP65" s="2240"/>
      <c r="AQ65" s="2240"/>
      <c r="AR65" s="2240"/>
      <c r="AS65" s="2240"/>
      <c r="AT65" s="2240"/>
      <c r="AU65" s="2240"/>
      <c r="AV65" s="2240"/>
      <c r="AW65" s="2240"/>
      <c r="AX65" s="2240"/>
      <c r="AY65" s="2240"/>
      <c r="AZ65" s="2240"/>
      <c r="BA65" s="2240"/>
      <c r="BB65" s="2240"/>
      <c r="BC65" s="2240"/>
      <c r="BD65" s="2240"/>
      <c r="BE65" s="2240"/>
      <c r="BF65" s="2240"/>
      <c r="BG65" s="2240">
        <f t="shared" si="57"/>
        <v>5.1647581210563231E-2</v>
      </c>
    </row>
    <row r="66" spans="1:59" s="1943" customFormat="1" hidden="1" outlineLevel="1">
      <c r="A66" s="1936"/>
      <c r="B66" s="1943">
        <v>4</v>
      </c>
      <c r="C66" s="1944" t="s">
        <v>28</v>
      </c>
      <c r="D66" s="1945" t="s">
        <v>207</v>
      </c>
      <c r="E66" s="1964">
        <v>1</v>
      </c>
      <c r="F66" s="1963">
        <v>1</v>
      </c>
      <c r="G66" s="1946"/>
      <c r="H66" s="2240">
        <f t="shared" ref="H66:W70" si="58">H20/H55-1</f>
        <v>5.2048726467331052E-2</v>
      </c>
      <c r="I66" s="2240">
        <f t="shared" si="58"/>
        <v>5.4421768707483054E-2</v>
      </c>
      <c r="J66" s="2240">
        <f t="shared" si="58"/>
        <v>5.3682342502218372E-2</v>
      </c>
      <c r="K66" s="2240">
        <f t="shared" si="58"/>
        <v>5.3384175405147838E-2</v>
      </c>
      <c r="L66" s="2240">
        <f t="shared" si="58"/>
        <v>5.1948051948051965E-2</v>
      </c>
      <c r="M66" s="2240">
        <f t="shared" si="58"/>
        <v>5.1948051948051965E-2</v>
      </c>
      <c r="N66" s="2240">
        <f t="shared" si="58"/>
        <v>5.418835778513964E-2</v>
      </c>
      <c r="O66" s="2240">
        <f t="shared" si="58"/>
        <v>5.4982817869415834E-2</v>
      </c>
      <c r="P66" s="2240">
        <f t="shared" si="58"/>
        <v>5.4200542005420127E-2</v>
      </c>
      <c r="Q66" s="2240">
        <f t="shared" si="58"/>
        <v>5.1948051948051965E-2</v>
      </c>
      <c r="R66" s="2240">
        <f t="shared" si="58"/>
        <v>5.2154195011337778E-2</v>
      </c>
      <c r="S66" s="2240">
        <f t="shared" si="58"/>
        <v>5.2493438320210029E-2</v>
      </c>
      <c r="T66" s="2240">
        <f t="shared" si="58"/>
        <v>5.4726368159204064E-2</v>
      </c>
      <c r="U66" s="2240">
        <f t="shared" si="58"/>
        <v>5.2154195011337778E-2</v>
      </c>
      <c r="V66" s="2240">
        <f t="shared" si="58"/>
        <v>5.0000000000000044E-2</v>
      </c>
      <c r="W66" s="2240">
        <f t="shared" si="58"/>
        <v>5.1297345660602511E-2</v>
      </c>
      <c r="X66" s="2240">
        <f t="shared" si="57"/>
        <v>5.0000000000000044E-2</v>
      </c>
      <c r="Y66" s="2240">
        <f t="shared" si="57"/>
        <v>5.1087331722471374E-2</v>
      </c>
      <c r="Z66" s="2240">
        <f t="shared" si="57"/>
        <v>5.0407013149655677E-2</v>
      </c>
      <c r="AA66" s="2240" t="e">
        <f t="shared" si="57"/>
        <v>#DIV/0!</v>
      </c>
      <c r="AB66" s="2240">
        <f t="shared" si="57"/>
        <v>5.0407013149655677E-2</v>
      </c>
      <c r="AC66" s="2240">
        <f t="shared" si="57"/>
        <v>5.0824175824175866E-2</v>
      </c>
      <c r="AD66" s="2240">
        <f t="shared" si="57"/>
        <v>5.0574712643678188E-2</v>
      </c>
      <c r="AE66" s="2240"/>
      <c r="AF66" s="2240">
        <f t="shared" si="57"/>
        <v>5.0739113064322883E-2</v>
      </c>
      <c r="AG66" s="2240">
        <f t="shared" si="57"/>
        <v>5.1020408163265252E-2</v>
      </c>
      <c r="AH66" s="2240">
        <f t="shared" si="57"/>
        <v>5.1660516605166018E-2</v>
      </c>
      <c r="AI66" s="2240"/>
      <c r="AJ66" s="2240"/>
      <c r="AK66" s="2240">
        <f t="shared" si="57"/>
        <v>5.0446998722860847E-2</v>
      </c>
      <c r="AL66" s="2240"/>
      <c r="AM66" s="2240"/>
      <c r="AN66" s="2240"/>
      <c r="AO66" s="2240"/>
      <c r="AP66" s="2240"/>
      <c r="AQ66" s="2240"/>
      <c r="AR66" s="2240"/>
      <c r="AS66" s="2240"/>
      <c r="AT66" s="2240">
        <f t="shared" si="57"/>
        <v>5.0420168067226934E-2</v>
      </c>
      <c r="AU66" s="2240">
        <f t="shared" si="57"/>
        <v>5.0904977375565652E-2</v>
      </c>
      <c r="AV66" s="2240">
        <f t="shared" si="57"/>
        <v>5.1619433198380582E-2</v>
      </c>
      <c r="AW66" s="2240">
        <f t="shared" si="57"/>
        <v>5.06465517241379E-2</v>
      </c>
      <c r="AX66" s="2240">
        <f t="shared" si="57"/>
        <v>5.2197802197802234E-2</v>
      </c>
      <c r="AY66" s="2240">
        <f t="shared" si="57"/>
        <v>5.1182377712989835E-2</v>
      </c>
      <c r="AZ66" s="2240">
        <f t="shared" si="57"/>
        <v>5.1182377712989835E-2</v>
      </c>
      <c r="BA66" s="2240"/>
      <c r="BB66" s="2240"/>
      <c r="BC66" s="2240">
        <f t="shared" si="57"/>
        <v>5.0704989154013003E-2</v>
      </c>
      <c r="BD66" s="2240">
        <f t="shared" si="57"/>
        <v>5.0420168067226934E-2</v>
      </c>
      <c r="BE66" s="2240">
        <f t="shared" si="57"/>
        <v>5.1641586867305245E-2</v>
      </c>
      <c r="BF66" s="2240">
        <f t="shared" si="57"/>
        <v>5.1619433198380582E-2</v>
      </c>
      <c r="BG66" s="2240"/>
    </row>
    <row r="67" spans="1:59" s="60" customFormat="1" hidden="1" outlineLevel="1">
      <c r="A67" s="1936"/>
      <c r="B67" s="60">
        <v>5</v>
      </c>
      <c r="C67" s="619" t="s">
        <v>763</v>
      </c>
      <c r="D67" s="1166" t="s">
        <v>1281</v>
      </c>
      <c r="E67" s="608">
        <v>1.0516587677725118</v>
      </c>
      <c r="F67" s="1176">
        <v>0.93</v>
      </c>
      <c r="G67" s="1167" t="s">
        <v>4</v>
      </c>
      <c r="H67" s="2240">
        <f t="shared" si="58"/>
        <v>4.9825610363726902E-2</v>
      </c>
      <c r="I67" s="2240">
        <f t="shared" si="57"/>
        <v>5.2083333333333259E-2</v>
      </c>
      <c r="J67" s="2240">
        <f t="shared" si="57"/>
        <v>5.1731160896130168E-2</v>
      </c>
      <c r="K67" s="2240">
        <f t="shared" si="57"/>
        <v>5.1326663766855019E-2</v>
      </c>
      <c r="L67" s="2240">
        <f t="shared" si="57"/>
        <v>5.0552922590837435E-2</v>
      </c>
      <c r="M67" s="2240">
        <f t="shared" si="57"/>
        <v>5.0552922590837435E-2</v>
      </c>
      <c r="N67" s="2240">
        <f t="shared" si="57"/>
        <v>5.418835778513964E-2</v>
      </c>
      <c r="O67" s="2240">
        <f t="shared" si="57"/>
        <v>5.3833605220228398E-2</v>
      </c>
      <c r="P67" s="2240">
        <f t="shared" si="57"/>
        <v>5.4200542005420127E-2</v>
      </c>
      <c r="Q67" s="2240"/>
      <c r="R67" s="2240"/>
      <c r="S67" s="2240"/>
      <c r="T67" s="2240"/>
      <c r="U67" s="2240"/>
      <c r="V67" s="2240"/>
      <c r="W67" s="2240"/>
      <c r="X67" s="2240"/>
      <c r="Y67" s="2240"/>
      <c r="Z67" s="2240"/>
      <c r="AA67" s="2240"/>
      <c r="AB67" s="2240"/>
      <c r="AC67" s="2240"/>
      <c r="AD67" s="2240">
        <f t="shared" si="57"/>
        <v>5.1621160409556444E-2</v>
      </c>
      <c r="AE67" s="2240">
        <f t="shared" si="57"/>
        <v>5.1628551628551733E-2</v>
      </c>
      <c r="AF67" s="2240">
        <f t="shared" si="57"/>
        <v>5.0662878787878896E-2</v>
      </c>
      <c r="AG67" s="2240">
        <f t="shared" si="57"/>
        <v>5.216095380029806E-2</v>
      </c>
      <c r="AH67" s="2240">
        <f t="shared" si="57"/>
        <v>5.1376146788990829E-2</v>
      </c>
      <c r="AI67" s="2240">
        <f t="shared" si="57"/>
        <v>5.1879084967320299E-2</v>
      </c>
      <c r="AJ67" s="2240">
        <f t="shared" si="57"/>
        <v>5.1879084967320299E-2</v>
      </c>
      <c r="AK67" s="2240"/>
      <c r="AL67" s="2240">
        <f t="shared" si="57"/>
        <v>5.1423027166882074E-2</v>
      </c>
      <c r="AM67" s="2240">
        <f t="shared" si="57"/>
        <v>5.2116234996841371E-2</v>
      </c>
      <c r="AN67" s="2240">
        <f t="shared" si="57"/>
        <v>5.2777777777777812E-2</v>
      </c>
      <c r="AO67" s="2240">
        <f t="shared" si="57"/>
        <v>5.2459988144635483E-2</v>
      </c>
      <c r="AP67" s="2240">
        <f t="shared" si="57"/>
        <v>5.2349336057201157E-2</v>
      </c>
      <c r="AQ67" s="2240">
        <f t="shared" si="57"/>
        <v>5.2349336057201157E-2</v>
      </c>
      <c r="AR67" s="2240">
        <f t="shared" si="57"/>
        <v>5.2975653742109996E-2</v>
      </c>
      <c r="AS67" s="2240">
        <f t="shared" si="57"/>
        <v>5.2975653742109996E-2</v>
      </c>
      <c r="AT67" s="2240"/>
      <c r="AU67" s="2240"/>
      <c r="AV67" s="2240"/>
      <c r="AW67" s="2240"/>
      <c r="AX67" s="2240"/>
      <c r="AY67" s="2240"/>
      <c r="AZ67" s="2240"/>
      <c r="BA67" s="2240">
        <f t="shared" si="57"/>
        <v>4.980079681274896E-2</v>
      </c>
      <c r="BB67" s="2240">
        <f t="shared" si="57"/>
        <v>5.105198019801982E-2</v>
      </c>
      <c r="BC67" s="2240">
        <f t="shared" si="57"/>
        <v>5.1055473735886148E-2</v>
      </c>
      <c r="BD67" s="2240">
        <f t="shared" si="57"/>
        <v>5.0541516245487417E-2</v>
      </c>
      <c r="BE67" s="2240"/>
      <c r="BF67" s="2240"/>
      <c r="BG67" s="2240"/>
    </row>
    <row r="68" spans="1:59" s="1943" customFormat="1" hidden="1" outlineLevel="1">
      <c r="A68" s="1936"/>
      <c r="B68" s="1943">
        <v>6</v>
      </c>
      <c r="C68" s="1944" t="s">
        <v>763</v>
      </c>
      <c r="D68" s="1952" t="s">
        <v>1282</v>
      </c>
      <c r="E68" s="1953">
        <v>1.1303317535545023</v>
      </c>
      <c r="F68" s="1954">
        <v>1</v>
      </c>
      <c r="G68" s="1946"/>
      <c r="H68" s="2240">
        <f t="shared" si="58"/>
        <v>5.0069541029207354E-2</v>
      </c>
      <c r="I68" s="2240">
        <f t="shared" si="57"/>
        <v>5.216622458001785E-2</v>
      </c>
      <c r="J68" s="2240">
        <f t="shared" si="57"/>
        <v>5.1823416506717956E-2</v>
      </c>
      <c r="K68" s="2240">
        <f t="shared" si="57"/>
        <v>5.1449571253572968E-2</v>
      </c>
      <c r="L68" s="2240">
        <f t="shared" si="57"/>
        <v>5.0698016164584914E-2</v>
      </c>
      <c r="M68" s="2240">
        <f t="shared" si="57"/>
        <v>5.0698016164584914E-2</v>
      </c>
      <c r="N68" s="2240">
        <f t="shared" si="57"/>
        <v>5.418835778513964E-2</v>
      </c>
      <c r="O68" s="2240">
        <f t="shared" si="57"/>
        <v>5.3543307086614256E-2</v>
      </c>
      <c r="P68" s="2240">
        <f t="shared" si="57"/>
        <v>5.4200542005420127E-2</v>
      </c>
      <c r="Q68" s="2240"/>
      <c r="R68" s="2240"/>
      <c r="S68" s="2240"/>
      <c r="T68" s="2240"/>
      <c r="U68" s="2240"/>
      <c r="V68" s="2240"/>
      <c r="W68" s="2240"/>
      <c r="X68" s="2240"/>
      <c r="Y68" s="2240"/>
      <c r="Z68" s="2240"/>
      <c r="AA68" s="2240"/>
      <c r="AB68" s="2240"/>
      <c r="AC68" s="2240"/>
      <c r="AD68" s="2240">
        <f t="shared" si="57"/>
        <v>5.1587301587301626E-2</v>
      </c>
      <c r="AE68" s="2240">
        <f t="shared" si="57"/>
        <v>5.1600261267145564E-2</v>
      </c>
      <c r="AF68" s="2240">
        <f t="shared" si="57"/>
        <v>5.0660792951541911E-2</v>
      </c>
      <c r="AG68" s="2240">
        <f t="shared" si="57"/>
        <v>5.2076002814918976E-2</v>
      </c>
      <c r="AH68" s="2240">
        <f t="shared" si="57"/>
        <v>5.1194539249146853E-2</v>
      </c>
      <c r="AI68" s="2240">
        <f t="shared" si="57"/>
        <v>5.0660792951541911E-2</v>
      </c>
      <c r="AJ68" s="2240">
        <f t="shared" si="57"/>
        <v>5.0660792951541911E-2</v>
      </c>
      <c r="AK68" s="2240"/>
      <c r="AL68" s="2240">
        <f t="shared" si="57"/>
        <v>5.1444043321299704E-2</v>
      </c>
      <c r="AM68" s="2240">
        <f t="shared" si="57"/>
        <v>5.2089464390818074E-2</v>
      </c>
      <c r="AN68" s="2240">
        <f t="shared" si="57"/>
        <v>5.2707373271889457E-2</v>
      </c>
      <c r="AO68" s="2240">
        <f t="shared" si="57"/>
        <v>5.2412645590682372E-2</v>
      </c>
      <c r="AP68" s="2240">
        <f t="shared" si="57"/>
        <v>5.2314368370298903E-2</v>
      </c>
      <c r="AQ68" s="2240">
        <f t="shared" si="57"/>
        <v>5.2314368370298903E-2</v>
      </c>
      <c r="AR68" s="2240">
        <f t="shared" si="57"/>
        <v>5.2913453299057389E-2</v>
      </c>
      <c r="AS68" s="2240">
        <f t="shared" si="57"/>
        <v>5.2913453299057389E-2</v>
      </c>
      <c r="AT68" s="2240"/>
      <c r="AU68" s="2240"/>
      <c r="AV68" s="2240"/>
      <c r="AW68" s="2240"/>
      <c r="AX68" s="2240"/>
      <c r="AY68" s="2240"/>
      <c r="AZ68" s="2240"/>
      <c r="BA68" s="2240">
        <f t="shared" si="57"/>
        <v>5.0030883261272363E-2</v>
      </c>
      <c r="BB68" s="2240">
        <f t="shared" si="57"/>
        <v>5.1185656448814454E-2</v>
      </c>
      <c r="BC68" s="2240">
        <f t="shared" si="57"/>
        <v>5.1162790697674376E-2</v>
      </c>
      <c r="BD68" s="2240">
        <f t="shared" si="57"/>
        <v>5.0704225352112609E-2</v>
      </c>
      <c r="BE68" s="2240"/>
      <c r="BF68" s="2240"/>
      <c r="BG68" s="2240"/>
    </row>
    <row r="69" spans="1:59" s="60" customFormat="1" hidden="1" outlineLevel="1">
      <c r="A69" s="1936"/>
      <c r="B69" s="60">
        <v>7</v>
      </c>
      <c r="C69" s="619" t="s">
        <v>1807</v>
      </c>
      <c r="D69" s="1166" t="s">
        <v>1808</v>
      </c>
      <c r="E69" s="608">
        <v>1.1815165876777252</v>
      </c>
      <c r="F69" s="1176">
        <v>1.0449999999999999</v>
      </c>
      <c r="G69" s="1167" t="s">
        <v>4</v>
      </c>
      <c r="H69" s="2240">
        <f t="shared" si="58"/>
        <v>4.9667405764966643E-2</v>
      </c>
      <c r="I69" s="2240">
        <f t="shared" si="57"/>
        <v>5.1694915254237195E-2</v>
      </c>
      <c r="J69" s="2240">
        <f t="shared" si="57"/>
        <v>5.1424343322234556E-2</v>
      </c>
      <c r="K69" s="2240">
        <f t="shared" si="57"/>
        <v>5.1040439733019305E-2</v>
      </c>
      <c r="L69" s="2240">
        <f t="shared" si="57"/>
        <v>5.0615114235500691E-2</v>
      </c>
      <c r="M69" s="2240">
        <f t="shared" si="57"/>
        <v>5.0615114235500691E-2</v>
      </c>
      <c r="N69" s="2240">
        <f t="shared" si="57"/>
        <v>5.418835778513964E-2</v>
      </c>
      <c r="O69" s="2240">
        <f t="shared" si="57"/>
        <v>5.3846153846153877E-2</v>
      </c>
      <c r="P69" s="2240">
        <f t="shared" si="57"/>
        <v>5.4200542005420127E-2</v>
      </c>
      <c r="Q69" s="2240"/>
      <c r="R69" s="2240"/>
      <c r="S69" s="2240"/>
      <c r="T69" s="2240"/>
      <c r="U69" s="2240"/>
      <c r="V69" s="2240"/>
      <c r="W69" s="2240"/>
      <c r="X69" s="2240"/>
      <c r="Y69" s="2240"/>
      <c r="Z69" s="2240"/>
      <c r="AA69" s="2240"/>
      <c r="AB69" s="2240"/>
      <c r="AC69" s="2240"/>
      <c r="AD69" s="2240"/>
      <c r="AE69" s="2240"/>
      <c r="AF69" s="2240"/>
      <c r="AG69" s="2240"/>
      <c r="AH69" s="2240"/>
      <c r="AI69" s="2240"/>
      <c r="AJ69" s="2240"/>
      <c r="AK69" s="2240"/>
      <c r="AL69" s="2240">
        <f t="shared" si="57"/>
        <v>5.1525618883131896E-2</v>
      </c>
      <c r="AM69" s="2240">
        <f t="shared" si="57"/>
        <v>5.2142051860202931E-2</v>
      </c>
      <c r="AN69" s="2240">
        <f t="shared" si="57"/>
        <v>5.2733296521258799E-2</v>
      </c>
      <c r="AO69" s="2240">
        <f t="shared" si="57"/>
        <v>5.2449414270500538E-2</v>
      </c>
      <c r="AP69" s="2240">
        <f t="shared" si="57"/>
        <v>5.2349930200093153E-2</v>
      </c>
      <c r="AQ69" s="2240">
        <f t="shared" si="57"/>
        <v>5.2349930200093153E-2</v>
      </c>
      <c r="AR69" s="2240">
        <f t="shared" si="57"/>
        <v>5.2926525529265245E-2</v>
      </c>
      <c r="AS69" s="2240">
        <f t="shared" si="57"/>
        <v>5.2926525529265245E-2</v>
      </c>
      <c r="AT69" s="2240"/>
      <c r="AU69" s="2240"/>
      <c r="AV69" s="2240"/>
      <c r="AW69" s="2240"/>
      <c r="AX69" s="2240"/>
      <c r="AY69" s="2240"/>
      <c r="AZ69" s="2240"/>
      <c r="BA69" s="2240">
        <f t="shared" si="57"/>
        <v>4.9940898345153695E-2</v>
      </c>
      <c r="BB69" s="2240">
        <f t="shared" si="57"/>
        <v>5.1054384017758192E-2</v>
      </c>
      <c r="BC69" s="2240">
        <f t="shared" si="57"/>
        <v>5.1057130004498408E-2</v>
      </c>
      <c r="BD69" s="2240">
        <f t="shared" si="57"/>
        <v>5.0595238095238138E-2</v>
      </c>
      <c r="BE69" s="2240"/>
      <c r="BF69" s="2240"/>
      <c r="BG69" s="2240"/>
    </row>
    <row r="70" spans="1:59" s="60" customFormat="1" hidden="1" outlineLevel="1">
      <c r="A70" s="1936"/>
      <c r="B70" s="60">
        <v>8</v>
      </c>
      <c r="C70" s="619" t="s">
        <v>763</v>
      </c>
      <c r="D70" s="1166" t="s">
        <v>1283</v>
      </c>
      <c r="E70" s="608">
        <v>1.2322274881516588</v>
      </c>
      <c r="F70" s="1176">
        <v>1.0900000000000001</v>
      </c>
      <c r="G70" s="1167" t="s">
        <v>4</v>
      </c>
      <c r="H70" s="2240">
        <f t="shared" si="58"/>
        <v>4.9744897959183687E-2</v>
      </c>
      <c r="I70" s="2240">
        <f t="shared" si="57"/>
        <v>5.1689051689051801E-2</v>
      </c>
      <c r="J70" s="2240">
        <f t="shared" si="57"/>
        <v>5.1428571428571379E-2</v>
      </c>
      <c r="K70" s="2240">
        <f t="shared" si="57"/>
        <v>5.1059001512859137E-2</v>
      </c>
      <c r="L70" s="2240">
        <f t="shared" si="57"/>
        <v>5.0893158072126576E-2</v>
      </c>
      <c r="M70" s="2240">
        <f t="shared" si="57"/>
        <v>5.0893158072126576E-2</v>
      </c>
      <c r="N70" s="2240">
        <f t="shared" si="57"/>
        <v>5.418835778513964E-2</v>
      </c>
      <c r="O70" s="2240">
        <f t="shared" si="57"/>
        <v>5.4216867469879526E-2</v>
      </c>
      <c r="P70" s="2240">
        <f t="shared" si="57"/>
        <v>5.4200542005420127E-2</v>
      </c>
      <c r="Q70" s="2240">
        <f t="shared" si="57"/>
        <v>5.0000000000000044E-2</v>
      </c>
      <c r="R70" s="2240"/>
      <c r="S70" s="2240">
        <f t="shared" si="57"/>
        <v>5.0000000000000044E-2</v>
      </c>
      <c r="T70" s="2240">
        <f t="shared" si="57"/>
        <v>5.1756007393715331E-2</v>
      </c>
      <c r="U70" s="2240"/>
      <c r="V70" s="2240"/>
      <c r="W70" s="2240" t="e">
        <f t="shared" si="57"/>
        <v>#DIV/0!</v>
      </c>
      <c r="X70" s="2240" t="e">
        <f t="shared" ref="X70:BD70" si="59">X24/X59-1</f>
        <v>#DIV/0!</v>
      </c>
      <c r="Y70" s="2240" t="e">
        <f t="shared" si="59"/>
        <v>#DIV/0!</v>
      </c>
      <c r="Z70" s="2240" t="e">
        <f t="shared" si="59"/>
        <v>#DIV/0!</v>
      </c>
      <c r="AA70" s="2240" t="e">
        <f t="shared" si="59"/>
        <v>#DIV/0!</v>
      </c>
      <c r="AB70" s="2240" t="e">
        <f t="shared" si="59"/>
        <v>#DIV/0!</v>
      </c>
      <c r="AC70" s="2240"/>
      <c r="AD70" s="2240">
        <f t="shared" si="59"/>
        <v>5.1692755733527385E-2</v>
      </c>
      <c r="AE70" s="2240">
        <f t="shared" si="59"/>
        <v>5.1687442991790844E-2</v>
      </c>
      <c r="AF70" s="2240">
        <f t="shared" si="59"/>
        <v>5.0505050505050608E-2</v>
      </c>
      <c r="AG70" s="2240">
        <f t="shared" si="59"/>
        <v>5.1854282901214299E-2</v>
      </c>
      <c r="AH70" s="2240">
        <f t="shared" si="59"/>
        <v>5.134627426424565E-2</v>
      </c>
      <c r="AI70" s="2240">
        <f t="shared" si="59"/>
        <v>5.1911609961416971E-2</v>
      </c>
      <c r="AJ70" s="2240">
        <f t="shared" si="59"/>
        <v>5.1911609961416971E-2</v>
      </c>
      <c r="AK70" s="2240"/>
      <c r="AL70" s="2240">
        <f t="shared" si="59"/>
        <v>5.1324503311258374E-2</v>
      </c>
      <c r="AM70" s="2240">
        <f t="shared" si="59"/>
        <v>5.1919956733369466E-2</v>
      </c>
      <c r="AN70" s="2240">
        <f t="shared" si="59"/>
        <v>5.2492046659597058E-2</v>
      </c>
      <c r="AO70" s="2240">
        <f t="shared" si="59"/>
        <v>5.2227342549923339E-2</v>
      </c>
      <c r="AP70" s="2240">
        <f t="shared" si="59"/>
        <v>5.2158273381295084E-2</v>
      </c>
      <c r="AQ70" s="2240">
        <f t="shared" si="59"/>
        <v>5.2158273381295084E-2</v>
      </c>
      <c r="AR70" s="2240">
        <f t="shared" si="59"/>
        <v>5.2737520128824489E-2</v>
      </c>
      <c r="AS70" s="2240">
        <f t="shared" si="59"/>
        <v>5.2737520128824489E-2</v>
      </c>
      <c r="AT70" s="2240"/>
      <c r="AU70" s="2240"/>
      <c r="AV70" s="2240"/>
      <c r="AW70" s="2240"/>
      <c r="AX70" s="2240"/>
      <c r="AY70" s="2240"/>
      <c r="AZ70" s="2240"/>
      <c r="BA70" s="2240">
        <f t="shared" si="59"/>
        <v>4.9858356940509774E-2</v>
      </c>
      <c r="BB70" s="2240">
        <f t="shared" si="59"/>
        <v>5.0933333333333275E-2</v>
      </c>
      <c r="BC70" s="2240">
        <f t="shared" si="59"/>
        <v>5.0958188153310102E-2</v>
      </c>
      <c r="BD70" s="2240">
        <f t="shared" si="59"/>
        <v>5.0494534096824584E-2</v>
      </c>
      <c r="BE70" s="2240"/>
      <c r="BF70" s="2240"/>
      <c r="BG70" s="2240"/>
    </row>
    <row r="71" spans="1:59" s="211" customFormat="1" hidden="1" outlineLevel="1">
      <c r="B71" s="60">
        <v>9</v>
      </c>
      <c r="C71" s="619" t="s">
        <v>28</v>
      </c>
      <c r="D71" s="1283" t="s">
        <v>1391</v>
      </c>
      <c r="E71" s="585"/>
      <c r="F71" s="585"/>
      <c r="G71" s="585"/>
      <c r="H71" s="1683"/>
      <c r="I71" s="1684"/>
      <c r="J71" s="1684"/>
      <c r="K71" s="1685"/>
      <c r="L71" s="1685"/>
      <c r="M71" s="1686"/>
      <c r="N71" s="1684"/>
      <c r="O71" s="1684"/>
      <c r="P71" s="1684"/>
      <c r="Q71" s="1685"/>
      <c r="R71" s="1685"/>
      <c r="S71" s="1685"/>
      <c r="T71" s="1685"/>
      <c r="U71" s="1685"/>
      <c r="V71" s="1685"/>
      <c r="W71" s="1685"/>
      <c r="X71" s="1687"/>
      <c r="Y71" s="1687"/>
      <c r="Z71" s="1687"/>
      <c r="AA71" s="1687"/>
      <c r="AB71" s="1687"/>
      <c r="AC71" s="1687"/>
      <c r="AD71" s="1687"/>
      <c r="AE71" s="1687"/>
      <c r="AF71" s="1687"/>
      <c r="AG71" s="1687"/>
      <c r="AH71" s="1687"/>
      <c r="AI71" s="1687"/>
      <c r="AJ71" s="1687"/>
      <c r="AK71" s="1687"/>
      <c r="AL71" s="1687"/>
      <c r="AM71" s="1687"/>
      <c r="AN71" s="1687"/>
      <c r="AO71" s="1687"/>
      <c r="AP71" s="1687"/>
      <c r="AQ71" s="1687"/>
      <c r="AR71" s="1687"/>
      <c r="AS71" s="1687"/>
      <c r="AT71" s="1687"/>
      <c r="AU71" s="1687"/>
      <c r="AV71" s="1687"/>
      <c r="AW71" s="1687"/>
      <c r="AX71" s="1687"/>
      <c r="AY71" s="1687"/>
      <c r="AZ71" s="1687"/>
      <c r="BA71" s="1687"/>
      <c r="BB71" s="1687"/>
      <c r="BC71" s="1687"/>
      <c r="BD71" s="1687"/>
      <c r="BE71" s="1687"/>
      <c r="BF71" s="1687"/>
      <c r="BG71" s="1687"/>
    </row>
    <row r="72" spans="1:59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G13 G9:G11 E5:G6">
    <cfRule type="duplicateValues" dxfId="67" priority="276"/>
  </conditionalFormatting>
  <conditionalFormatting sqref="G12">
    <cfRule type="duplicateValues" dxfId="66" priority="54"/>
  </conditionalFormatting>
  <conditionalFormatting sqref="G12">
    <cfRule type="duplicateValues" dxfId="65" priority="55"/>
  </conditionalFormatting>
  <conditionalFormatting sqref="F7:G7">
    <cfRule type="duplicateValues" dxfId="64" priority="44"/>
  </conditionalFormatting>
  <conditionalFormatting sqref="F7:G7">
    <cfRule type="duplicateValues" dxfId="63" priority="45"/>
  </conditionalFormatting>
  <conditionalFormatting sqref="E18:G18">
    <cfRule type="duplicateValues" dxfId="62" priority="293"/>
  </conditionalFormatting>
  <conditionalFormatting sqref="G48 G44:G46 E40:G41">
    <cfRule type="duplicateValues" dxfId="61" priority="22"/>
  </conditionalFormatting>
  <conditionalFormatting sqref="G47">
    <cfRule type="duplicateValues" dxfId="60" priority="21"/>
  </conditionalFormatting>
  <conditionalFormatting sqref="G47">
    <cfRule type="duplicateValues" dxfId="59" priority="20"/>
  </conditionalFormatting>
  <conditionalFormatting sqref="K42 F42:G42">
    <cfRule type="duplicateValues" dxfId="58" priority="19"/>
  </conditionalFormatting>
  <conditionalFormatting sqref="F42:G42">
    <cfRule type="duplicateValues" dxfId="57" priority="18"/>
  </conditionalFormatting>
  <conditionalFormatting sqref="E53:G53">
    <cfRule type="duplicateValues" dxfId="56" priority="12"/>
  </conditionalFormatting>
  <conditionalFormatting sqref="G35 G31:G33 E29:G29">
    <cfRule type="duplicateValues" dxfId="55" priority="10"/>
  </conditionalFormatting>
  <conditionalFormatting sqref="G34">
    <cfRule type="duplicateValues" dxfId="54" priority="9"/>
  </conditionalFormatting>
  <conditionalFormatting sqref="G34">
    <cfRule type="duplicateValues" dxfId="53" priority="8"/>
  </conditionalFormatting>
  <conditionalFormatting sqref="BH5:XFD6 BG6 G13 G9:G11 E5:G6">
    <cfRule type="duplicateValues" dxfId="52" priority="296"/>
  </conditionalFormatting>
  <conditionalFormatting sqref="BH18:XFD18 E18:G18">
    <cfRule type="duplicateValues" dxfId="51" priority="304"/>
  </conditionalFormatting>
  <conditionalFormatting sqref="G48 BH40:XFD41 BG41 G44:G46 E40:G41">
    <cfRule type="duplicateValues" dxfId="50" priority="307"/>
  </conditionalFormatting>
  <conditionalFormatting sqref="BH53:XFD53 AA53 E53:G53">
    <cfRule type="duplicateValues" dxfId="49" priority="315"/>
  </conditionalFormatting>
  <conditionalFormatting sqref="G35 BH29:XFD29 G31:G33 E29:G29">
    <cfRule type="duplicateValues" dxfId="48" priority="318"/>
  </conditionalFormatting>
  <conditionalFormatting sqref="G70 G66:G68 E64:G64">
    <cfRule type="duplicateValues" dxfId="47" priority="3"/>
  </conditionalFormatting>
  <conditionalFormatting sqref="G69">
    <cfRule type="duplicateValues" dxfId="46" priority="2"/>
  </conditionalFormatting>
  <conditionalFormatting sqref="G69">
    <cfRule type="duplicateValues" dxfId="45" priority="1"/>
  </conditionalFormatting>
  <conditionalFormatting sqref="G70 BH64:XFD64 G66:G68 E64:G64">
    <cfRule type="duplicateValues" dxfId="44" priority="4"/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2:AM107"/>
  <sheetViews>
    <sheetView workbookViewId="0">
      <pane xSplit="2" ySplit="4" topLeftCell="C74" activePane="bottomRight" state="frozen"/>
      <selection pane="topRight" activeCell="C1" sqref="C1"/>
      <selection pane="bottomLeft" activeCell="A5" sqref="A5"/>
      <selection pane="bottomRight" sqref="A1:XFD1048576"/>
    </sheetView>
  </sheetViews>
  <sheetFormatPr defaultColWidth="9.140625" defaultRowHeight="15" outlineLevelRow="3" outlineLevelCol="1"/>
  <cols>
    <col min="1" max="1" width="4.140625" style="471" hidden="1" customWidth="1" outlineLevel="1"/>
    <col min="2" max="2" width="27.5703125" style="471" hidden="1" customWidth="1" outlineLevel="1"/>
    <col min="3" max="5" width="11.140625" style="471" hidden="1" customWidth="1" outlineLevel="1"/>
    <col min="6" max="6" width="10.5703125" style="471" hidden="1" customWidth="1" outlineLevel="1"/>
    <col min="7" max="7" width="10.85546875" style="471" hidden="1" customWidth="1" outlineLevel="1"/>
    <col min="8" max="12" width="9.5703125" style="471" hidden="1" customWidth="1" outlineLevel="1"/>
    <col min="13" max="13" width="10.85546875" style="471" hidden="1" customWidth="1" outlineLevel="1"/>
    <col min="14" max="15" width="9.140625" style="471" hidden="1" customWidth="1" outlineLevel="1"/>
    <col min="16" max="17" width="10.85546875" style="471" hidden="1" customWidth="1" outlineLevel="1"/>
    <col min="18" max="19" width="10.5703125" style="471" hidden="1" customWidth="1" outlineLevel="1"/>
    <col min="20" max="20" width="11" style="471" hidden="1" customWidth="1" outlineLevel="1"/>
    <col min="21" max="21" width="9.85546875" style="471" hidden="1" customWidth="1" outlineLevel="1"/>
    <col min="22" max="22" width="10.85546875" style="471" hidden="1" customWidth="1" outlineLevel="1"/>
    <col min="23" max="27" width="9.140625" style="471" hidden="1" customWidth="1" outlineLevel="1"/>
    <col min="28" max="28" width="9.5703125" style="471" hidden="1" customWidth="1" outlineLevel="1"/>
    <col min="29" max="29" width="3.7109375" style="471" hidden="1" customWidth="1" outlineLevel="1"/>
    <col min="30" max="30" width="15.85546875" style="471" hidden="1" customWidth="1" outlineLevel="1"/>
    <col min="31" max="31" width="17.7109375" style="471" hidden="1" customWidth="1" outlineLevel="1"/>
    <col min="32" max="32" width="12.140625" style="471" hidden="1" customWidth="1" outlineLevel="1"/>
    <col min="33" max="33" width="12.7109375" style="471" hidden="1" customWidth="1" outlineLevel="1"/>
    <col min="34" max="34" width="19.85546875" style="471" hidden="1" customWidth="1" outlineLevel="1"/>
    <col min="35" max="35" width="5.140625" style="471" hidden="1" customWidth="1" outlineLevel="1"/>
    <col min="36" max="36" width="17.140625" style="471" hidden="1" customWidth="1" outlineLevel="1"/>
    <col min="37" max="37" width="16.85546875" style="471" hidden="1" customWidth="1" outlineLevel="1"/>
    <col min="38" max="38" width="9.140625" style="471" hidden="1" customWidth="1" outlineLevel="1"/>
    <col min="39" max="39" width="9.140625" style="471" collapsed="1"/>
    <col min="40" max="16384" width="9.140625" style="471"/>
  </cols>
  <sheetData>
    <row r="2" spans="2:37" hidden="1" outlineLevel="1">
      <c r="B2" s="471" t="s">
        <v>1324</v>
      </c>
      <c r="AD2" s="2687" t="s">
        <v>1459</v>
      </c>
      <c r="AE2" s="2687"/>
      <c r="AF2" s="2687" t="s">
        <v>1460</v>
      </c>
      <c r="AG2" s="2687"/>
    </row>
    <row r="3" spans="2:37" ht="46.5" hidden="1" customHeight="1" outlineLevel="2">
      <c r="B3" s="2680" t="s">
        <v>1046</v>
      </c>
      <c r="C3" s="2681" t="s">
        <v>1325</v>
      </c>
      <c r="D3" s="2681"/>
      <c r="E3" s="2681"/>
      <c r="F3" s="751"/>
      <c r="G3" s="2682" t="s">
        <v>1326</v>
      </c>
      <c r="H3" s="2683" t="s">
        <v>1327</v>
      </c>
      <c r="I3" s="2684"/>
      <c r="J3" s="2683" t="s">
        <v>1791</v>
      </c>
      <c r="K3" s="2686"/>
      <c r="L3" s="2684"/>
      <c r="M3" s="2683" t="s">
        <v>1328</v>
      </c>
      <c r="N3" s="2684"/>
      <c r="O3" s="754"/>
      <c r="P3" s="2685" t="s">
        <v>1326</v>
      </c>
      <c r="Q3" s="2688" t="s">
        <v>1327</v>
      </c>
      <c r="R3" s="2688"/>
      <c r="S3" s="2689" t="s">
        <v>1791</v>
      </c>
      <c r="T3" s="2690"/>
      <c r="U3" s="2691"/>
      <c r="V3" s="2688" t="s">
        <v>1328</v>
      </c>
      <c r="W3" s="2688"/>
      <c r="X3" s="1362"/>
      <c r="Y3" s="1362"/>
      <c r="Z3" s="1362"/>
      <c r="AA3" s="1362"/>
      <c r="AB3" s="1362"/>
      <c r="AC3" s="754"/>
      <c r="AD3" s="1364" t="s">
        <v>1390</v>
      </c>
      <c r="AE3" s="1364" t="s">
        <v>1965</v>
      </c>
      <c r="AF3" s="1364" t="s">
        <v>1390</v>
      </c>
      <c r="AG3" s="1364" t="s">
        <v>1453</v>
      </c>
      <c r="AJ3" s="1278" t="s">
        <v>877</v>
      </c>
      <c r="AK3" s="2677" t="s">
        <v>1384</v>
      </c>
    </row>
    <row r="4" spans="2:37" ht="45" hidden="1" outlineLevel="2">
      <c r="B4" s="2680"/>
      <c r="C4" s="751" t="s">
        <v>1329</v>
      </c>
      <c r="D4" s="751" t="s">
        <v>1330</v>
      </c>
      <c r="E4" s="751" t="s">
        <v>1331</v>
      </c>
      <c r="F4" s="751" t="s">
        <v>1332</v>
      </c>
      <c r="G4" s="2682"/>
      <c r="H4" s="1246" t="s">
        <v>1333</v>
      </c>
      <c r="I4" s="1247" t="s">
        <v>1334</v>
      </c>
      <c r="J4" s="1247" t="s">
        <v>232</v>
      </c>
      <c r="K4" s="1793" t="s">
        <v>1333</v>
      </c>
      <c r="L4" s="1793" t="s">
        <v>1361</v>
      </c>
      <c r="M4" s="1246" t="s">
        <v>525</v>
      </c>
      <c r="N4" s="1247" t="s">
        <v>1335</v>
      </c>
      <c r="O4" s="1248"/>
      <c r="P4" s="2685"/>
      <c r="Q4" s="1249" t="s">
        <v>1333</v>
      </c>
      <c r="R4" s="1250" t="s">
        <v>1334</v>
      </c>
      <c r="S4" s="1250" t="s">
        <v>232</v>
      </c>
      <c r="T4" s="1794" t="s">
        <v>1333</v>
      </c>
      <c r="U4" s="1794" t="s">
        <v>1361</v>
      </c>
      <c r="V4" s="1249" t="s">
        <v>525</v>
      </c>
      <c r="W4" s="1250" t="s">
        <v>1335</v>
      </c>
      <c r="X4" s="1250" t="s">
        <v>1407</v>
      </c>
      <c r="Y4" s="1250" t="s">
        <v>1417</v>
      </c>
      <c r="Z4" s="1250" t="s">
        <v>1418</v>
      </c>
      <c r="AA4" s="1250" t="s">
        <v>879</v>
      </c>
      <c r="AB4" s="1250" t="s">
        <v>1419</v>
      </c>
      <c r="AC4" s="1248"/>
      <c r="AD4" s="1364" t="s">
        <v>4</v>
      </c>
      <c r="AE4" s="1364" t="s">
        <v>4</v>
      </c>
      <c r="AF4" s="1488"/>
      <c r="AG4" s="1488"/>
      <c r="AH4" s="1251" t="s">
        <v>1336</v>
      </c>
      <c r="AJ4" s="1244" t="s">
        <v>1368</v>
      </c>
      <c r="AK4" s="2678"/>
    </row>
    <row r="5" spans="2:37" hidden="1" outlineLevel="2">
      <c r="B5" s="751" t="s">
        <v>1337</v>
      </c>
      <c r="C5" s="755">
        <v>0.8</v>
      </c>
      <c r="D5" s="755">
        <v>2.1</v>
      </c>
      <c r="E5" s="1252">
        <f>C5*D5</f>
        <v>1.6800000000000002</v>
      </c>
      <c r="F5" s="751"/>
      <c r="G5" s="822">
        <v>7750</v>
      </c>
      <c r="H5" s="822">
        <v>9400</v>
      </c>
      <c r="I5" s="822">
        <v>13500</v>
      </c>
      <c r="J5" s="822">
        <f>L5</f>
        <v>19300</v>
      </c>
      <c r="K5" s="822">
        <v>15100</v>
      </c>
      <c r="L5" s="822">
        <v>19300</v>
      </c>
      <c r="M5" s="822"/>
      <c r="N5" s="822"/>
      <c r="O5" s="1253"/>
      <c r="P5" s="1254">
        <v>7800</v>
      </c>
      <c r="Q5" s="1254">
        <v>9400</v>
      </c>
      <c r="R5" s="1254">
        <v>13500</v>
      </c>
      <c r="S5" s="1324">
        <f>U5</f>
        <v>19300</v>
      </c>
      <c r="T5" s="2255">
        <v>15100</v>
      </c>
      <c r="U5" s="2255">
        <v>19300</v>
      </c>
      <c r="V5" s="1254"/>
      <c r="W5" s="1254"/>
      <c r="X5" s="1254"/>
      <c r="Y5" s="1254"/>
      <c r="Z5" s="1254"/>
      <c r="AA5" s="1254"/>
      <c r="AB5" s="1254"/>
      <c r="AC5" s="1253"/>
      <c r="AD5" s="1324">
        <v>10150</v>
      </c>
      <c r="AE5" s="1324">
        <v>8600</v>
      </c>
      <c r="AF5" s="1324">
        <f>(AD5-P5)*2</f>
        <v>4700</v>
      </c>
      <c r="AG5" s="1324">
        <f>(AE5-P5)*2</f>
        <v>1600</v>
      </c>
      <c r="AH5" s="30" t="s">
        <v>61</v>
      </c>
      <c r="AJ5" s="1244" t="s">
        <v>882</v>
      </c>
      <c r="AK5" s="2678"/>
    </row>
    <row r="6" spans="2:37" hidden="1" outlineLevel="2">
      <c r="B6" s="751" t="s">
        <v>1140</v>
      </c>
      <c r="C6" s="751"/>
      <c r="D6" s="751"/>
      <c r="E6" s="1252">
        <f>E5-E8</f>
        <v>1.4000000000000001</v>
      </c>
      <c r="F6" s="751"/>
      <c r="G6" s="822">
        <f>CEILING($C$37*E6, 500)</f>
        <v>6500</v>
      </c>
      <c r="H6" s="822">
        <f>CEILING($C$49*E6, 500)</f>
        <v>8000</v>
      </c>
      <c r="I6" s="822">
        <f t="shared" ref="I6:I10" si="0">CEILING($D$49*E6, 500)</f>
        <v>12000</v>
      </c>
      <c r="J6" s="822">
        <f t="shared" ref="J6:J10" si="1">CEILING($H$49*E6, 500)</f>
        <v>15500</v>
      </c>
      <c r="K6" s="822">
        <f t="shared" ref="K6:K10" si="2">CEILING($G$49*E6, 500)</f>
        <v>12000</v>
      </c>
      <c r="L6" s="822">
        <f t="shared" ref="L6:L10" si="3">CEILING($I$49*E6, 500)</f>
        <v>15500</v>
      </c>
      <c r="M6" s="822"/>
      <c r="N6" s="822"/>
      <c r="O6" s="1253"/>
      <c r="P6" s="1254">
        <v>6500</v>
      </c>
      <c r="Q6" s="1254">
        <v>1600</v>
      </c>
      <c r="R6" s="1254">
        <v>5700</v>
      </c>
      <c r="S6" s="1324">
        <f t="shared" ref="S6:S8" si="4">U6</f>
        <v>7300</v>
      </c>
      <c r="T6" s="1324">
        <v>11500</v>
      </c>
      <c r="U6" s="1324">
        <v>7300</v>
      </c>
      <c r="V6" s="1254"/>
      <c r="W6" s="1254"/>
      <c r="X6" s="1254"/>
      <c r="Y6" s="1254"/>
      <c r="Z6" s="1254"/>
      <c r="AA6" s="1254"/>
      <c r="AB6" s="1254"/>
      <c r="AC6" s="1253"/>
      <c r="AD6" s="1324">
        <v>3150</v>
      </c>
      <c r="AE6" s="1324">
        <v>1550</v>
      </c>
      <c r="AF6" s="1324"/>
      <c r="AG6" s="1324"/>
      <c r="AH6" s="821">
        <f t="shared" ref="AH6:AH11" si="5">G5*2</f>
        <v>15500</v>
      </c>
      <c r="AJ6" s="1245" t="s">
        <v>1383</v>
      </c>
      <c r="AK6" s="2679"/>
    </row>
    <row r="7" spans="2:37" hidden="1" outlineLevel="2">
      <c r="B7" s="751" t="s">
        <v>1338</v>
      </c>
      <c r="C7" s="755">
        <v>0.25</v>
      </c>
      <c r="D7" s="755">
        <v>2.1</v>
      </c>
      <c r="E7" s="1252">
        <f>C7*D7</f>
        <v>0.52500000000000002</v>
      </c>
      <c r="F7" s="751"/>
      <c r="G7" s="822">
        <f t="shared" ref="G7:G10" si="6">CEILING($C$37*E7, 500)</f>
        <v>2500</v>
      </c>
      <c r="H7" s="822">
        <f t="shared" ref="H7:H10" si="7">CEILING($C$49*E7, 500)</f>
        <v>3000</v>
      </c>
      <c r="I7" s="822">
        <f t="shared" si="0"/>
        <v>4500</v>
      </c>
      <c r="J7" s="822">
        <f t="shared" si="1"/>
        <v>6000</v>
      </c>
      <c r="K7" s="822">
        <f t="shared" si="2"/>
        <v>4500</v>
      </c>
      <c r="L7" s="822">
        <f t="shared" si="3"/>
        <v>6000</v>
      </c>
      <c r="M7" s="822"/>
      <c r="N7" s="822"/>
      <c r="O7" s="1253"/>
      <c r="P7" s="1255">
        <v>2500</v>
      </c>
      <c r="Q7" s="1255">
        <v>3000</v>
      </c>
      <c r="R7" s="1255">
        <v>4500</v>
      </c>
      <c r="S7" s="1324">
        <f t="shared" si="4"/>
        <v>6000</v>
      </c>
      <c r="T7" s="1324">
        <v>4500</v>
      </c>
      <c r="U7" s="1324">
        <v>6000</v>
      </c>
      <c r="V7" s="1254"/>
      <c r="W7" s="1254"/>
      <c r="X7" s="1254"/>
      <c r="Y7" s="1254"/>
      <c r="Z7" s="1254"/>
      <c r="AA7" s="1254"/>
      <c r="AB7" s="1254"/>
      <c r="AC7" s="1253"/>
      <c r="AD7" s="1324">
        <v>1500</v>
      </c>
      <c r="AE7" s="1255">
        <v>750</v>
      </c>
      <c r="AF7" s="1324">
        <f>(AD7-P7)*2</f>
        <v>-2000</v>
      </c>
      <c r="AG7" s="1324">
        <f>(AE7-P7)*2</f>
        <v>-3500</v>
      </c>
      <c r="AH7" s="821">
        <f t="shared" si="5"/>
        <v>13000</v>
      </c>
      <c r="AK7" s="471" t="s">
        <v>1386</v>
      </c>
    </row>
    <row r="8" spans="2:37" hidden="1" outlineLevel="2">
      <c r="B8" s="751" t="s">
        <v>1339</v>
      </c>
      <c r="C8" s="755">
        <v>0.8</v>
      </c>
      <c r="D8" s="755">
        <f>0.25+0.1</f>
        <v>0.35</v>
      </c>
      <c r="E8" s="1252">
        <f>C8*D8</f>
        <v>0.27999999999999997</v>
      </c>
      <c r="F8" s="751"/>
      <c r="G8" s="822">
        <f t="shared" si="6"/>
        <v>1500</v>
      </c>
      <c r="H8" s="822">
        <f t="shared" si="7"/>
        <v>2000</v>
      </c>
      <c r="I8" s="822">
        <f t="shared" si="0"/>
        <v>2500</v>
      </c>
      <c r="J8" s="822">
        <f t="shared" si="1"/>
        <v>3500</v>
      </c>
      <c r="K8" s="822">
        <f t="shared" si="2"/>
        <v>2500</v>
      </c>
      <c r="L8" s="822">
        <f t="shared" si="3"/>
        <v>3500</v>
      </c>
      <c r="M8" s="822"/>
      <c r="N8" s="822"/>
      <c r="O8" s="1253"/>
      <c r="P8" s="1254">
        <v>1500</v>
      </c>
      <c r="Q8" s="1254">
        <v>1500</v>
      </c>
      <c r="R8" s="1254">
        <v>2500</v>
      </c>
      <c r="S8" s="1324">
        <f t="shared" si="4"/>
        <v>3500</v>
      </c>
      <c r="T8" s="1324">
        <v>2500</v>
      </c>
      <c r="U8" s="1324">
        <v>3500</v>
      </c>
      <c r="V8" s="1254"/>
      <c r="W8" s="1254"/>
      <c r="X8" s="1254"/>
      <c r="Y8" s="1254"/>
      <c r="Z8" s="1254"/>
      <c r="AA8" s="1254"/>
      <c r="AB8" s="1254"/>
      <c r="AC8" s="1253"/>
      <c r="AD8" s="1324">
        <v>1500</v>
      </c>
      <c r="AE8" s="1254">
        <v>750</v>
      </c>
      <c r="AF8" s="1324">
        <f>(AD8-P8)*2</f>
        <v>0</v>
      </c>
      <c r="AG8" s="1324">
        <f>(AE8-P8)*2</f>
        <v>-1500</v>
      </c>
      <c r="AH8" s="821">
        <f t="shared" si="5"/>
        <v>5000</v>
      </c>
      <c r="AJ8" s="1278" t="s">
        <v>61</v>
      </c>
      <c r="AK8" s="2677" t="s">
        <v>1384</v>
      </c>
    </row>
    <row r="9" spans="2:37" hidden="1" outlineLevel="2">
      <c r="B9" s="751" t="s">
        <v>1136</v>
      </c>
      <c r="C9" s="755">
        <v>0.8</v>
      </c>
      <c r="D9" s="755">
        <v>0.25</v>
      </c>
      <c r="E9" s="1252">
        <f t="shared" ref="E9:E14" si="8">C9*D9</f>
        <v>0.2</v>
      </c>
      <c r="F9" s="751"/>
      <c r="G9" s="822">
        <f t="shared" si="6"/>
        <v>1000</v>
      </c>
      <c r="H9" s="822">
        <f>CEILING($C$49*E9, 500)</f>
        <v>1500</v>
      </c>
      <c r="I9" s="822">
        <f t="shared" si="0"/>
        <v>2000</v>
      </c>
      <c r="J9" s="822">
        <f t="shared" si="1"/>
        <v>2500</v>
      </c>
      <c r="K9" s="822">
        <f t="shared" si="2"/>
        <v>2000</v>
      </c>
      <c r="L9" s="822">
        <f t="shared" si="3"/>
        <v>2500</v>
      </c>
      <c r="M9" s="822"/>
      <c r="N9" s="822"/>
      <c r="O9" s="1253"/>
      <c r="P9" s="1256">
        <v>1000</v>
      </c>
      <c r="Q9" s="1256">
        <v>1000</v>
      </c>
      <c r="R9" s="1256">
        <v>1500</v>
      </c>
      <c r="S9" s="1324">
        <v>1500</v>
      </c>
      <c r="T9" s="1324">
        <v>2000</v>
      </c>
      <c r="U9" s="1324">
        <v>2500</v>
      </c>
      <c r="V9" s="1254"/>
      <c r="W9" s="1254"/>
      <c r="X9" s="1254"/>
      <c r="Y9" s="1254"/>
      <c r="Z9" s="1254"/>
      <c r="AA9" s="1254"/>
      <c r="AB9" s="1254"/>
      <c r="AC9" s="1253"/>
      <c r="AD9" s="1324">
        <v>1000</v>
      </c>
      <c r="AE9" s="1324">
        <v>500</v>
      </c>
      <c r="AF9" s="1324">
        <f>(AD9-P9)*2</f>
        <v>0</v>
      </c>
      <c r="AG9" s="1324">
        <f>(AE9-P9)*2</f>
        <v>-1000</v>
      </c>
      <c r="AH9" s="821">
        <f>G8*2</f>
        <v>3000</v>
      </c>
      <c r="AJ9" s="1244" t="s">
        <v>1385</v>
      </c>
      <c r="AK9" s="2678"/>
    </row>
    <row r="10" spans="2:37" ht="15.75" hidden="1" outlineLevel="2" thickBot="1">
      <c r="B10" s="1257" t="s">
        <v>1340</v>
      </c>
      <c r="C10" s="1258">
        <v>0.04</v>
      </c>
      <c r="D10" s="1258">
        <v>2.1</v>
      </c>
      <c r="E10" s="1259">
        <f t="shared" si="8"/>
        <v>8.4000000000000005E-2</v>
      </c>
      <c r="F10" s="1257"/>
      <c r="G10" s="1260">
        <f t="shared" si="6"/>
        <v>500</v>
      </c>
      <c r="H10" s="1260">
        <f t="shared" si="7"/>
        <v>500</v>
      </c>
      <c r="I10" s="1260">
        <f t="shared" si="0"/>
        <v>1000</v>
      </c>
      <c r="J10" s="1260">
        <f t="shared" si="1"/>
        <v>1000</v>
      </c>
      <c r="K10" s="1260">
        <f t="shared" si="2"/>
        <v>1000</v>
      </c>
      <c r="L10" s="1260">
        <f t="shared" si="3"/>
        <v>1000</v>
      </c>
      <c r="M10" s="1260"/>
      <c r="N10" s="1260"/>
      <c r="O10" s="1253"/>
      <c r="P10" s="1254">
        <v>500</v>
      </c>
      <c r="Q10" s="1261">
        <v>500</v>
      </c>
      <c r="R10" s="1261">
        <v>1000</v>
      </c>
      <c r="S10" s="1324">
        <v>2000</v>
      </c>
      <c r="T10" s="1324">
        <v>1000</v>
      </c>
      <c r="U10" s="1324">
        <v>1000</v>
      </c>
      <c r="V10" s="1261"/>
      <c r="W10" s="1261"/>
      <c r="X10" s="1254"/>
      <c r="Y10" s="1254"/>
      <c r="Z10" s="1254"/>
      <c r="AA10" s="1254"/>
      <c r="AB10" s="1254"/>
      <c r="AC10" s="1253"/>
      <c r="AD10" s="1253">
        <v>1000</v>
      </c>
      <c r="AE10" s="1253">
        <v>500</v>
      </c>
      <c r="AF10" s="1253"/>
      <c r="AG10" s="1253"/>
      <c r="AH10" s="821">
        <f t="shared" si="5"/>
        <v>2000</v>
      </c>
      <c r="AJ10" s="1245" t="s">
        <v>1383</v>
      </c>
      <c r="AK10" s="2679"/>
    </row>
    <row r="11" spans="2:37" ht="15.75" hidden="1" outlineLevel="2" thickTop="1">
      <c r="B11" s="1262" t="s">
        <v>1341</v>
      </c>
      <c r="C11" s="1263">
        <v>0.59799999999999998</v>
      </c>
      <c r="D11" s="1263">
        <v>1.788</v>
      </c>
      <c r="E11" s="1264">
        <f t="shared" si="8"/>
        <v>1.069224</v>
      </c>
      <c r="F11" s="1262"/>
      <c r="G11" s="1265"/>
      <c r="H11" s="1265"/>
      <c r="I11" s="1265"/>
      <c r="J11" s="1265"/>
      <c r="K11" s="1265"/>
      <c r="L11" s="1265"/>
      <c r="M11" s="1265">
        <f>CEILING($C$25*E11, 10)</f>
        <v>4770</v>
      </c>
      <c r="N11" s="1265">
        <f>CEILING($D$25*E11, 10)</f>
        <v>5300</v>
      </c>
      <c r="O11" s="1253"/>
      <c r="P11" s="1266"/>
      <c r="Q11" s="1266">
        <f>V11</f>
        <v>4770</v>
      </c>
      <c r="R11" s="1266">
        <f>W11</f>
        <v>5300</v>
      </c>
      <c r="S11" s="1266"/>
      <c r="T11" s="1266"/>
      <c r="U11" s="1266"/>
      <c r="V11" s="1266">
        <f>M11</f>
        <v>4770</v>
      </c>
      <c r="W11" s="1266">
        <f>N11</f>
        <v>5300</v>
      </c>
      <c r="X11" s="1254"/>
      <c r="Y11" s="1254"/>
      <c r="Z11" s="1254"/>
      <c r="AA11" s="1254">
        <v>750</v>
      </c>
      <c r="AB11" s="1254"/>
      <c r="AC11" s="1253">
        <f>V11/2-Q11</f>
        <v>-2385</v>
      </c>
      <c r="AD11" s="1253"/>
      <c r="AE11" s="1253"/>
      <c r="AF11" s="1253"/>
      <c r="AG11" s="1253"/>
      <c r="AH11" s="821">
        <f t="shared" si="5"/>
        <v>1000</v>
      </c>
    </row>
    <row r="12" spans="2:37" hidden="1" outlineLevel="2">
      <c r="B12" s="751" t="s">
        <v>1342</v>
      </c>
      <c r="C12" s="755">
        <v>0.624</v>
      </c>
      <c r="D12" s="755">
        <v>1.9990000000000001</v>
      </c>
      <c r="E12" s="1252">
        <f t="shared" si="8"/>
        <v>1.247376</v>
      </c>
      <c r="F12" s="751"/>
      <c r="G12" s="822"/>
      <c r="H12" s="822"/>
      <c r="I12" s="822"/>
      <c r="J12" s="1285"/>
      <c r="K12" s="1285"/>
      <c r="L12" s="1285"/>
      <c r="M12" s="822">
        <f>CEILING($C$25*E12, 500)</f>
        <v>6000</v>
      </c>
      <c r="N12" s="822">
        <f>CEILING($D$25*E12, 500)</f>
        <v>6500</v>
      </c>
      <c r="O12" s="822"/>
      <c r="P12" s="1254"/>
      <c r="Q12" s="1266">
        <f>V12</f>
        <v>6000</v>
      </c>
      <c r="R12" s="1266">
        <f>W12</f>
        <v>6500</v>
      </c>
      <c r="S12" s="1266"/>
      <c r="T12" s="1266"/>
      <c r="U12" s="1266"/>
      <c r="V12" s="1266">
        <f t="shared" ref="V12:W14" si="9">M12</f>
        <v>6000</v>
      </c>
      <c r="W12" s="1266">
        <f t="shared" si="9"/>
        <v>6500</v>
      </c>
      <c r="X12" s="1254"/>
      <c r="Y12" s="1254">
        <v>2000</v>
      </c>
      <c r="Z12" s="1254">
        <v>3000</v>
      </c>
      <c r="AA12" s="1254">
        <v>750</v>
      </c>
      <c r="AB12" s="1254">
        <v>10000</v>
      </c>
      <c r="AC12" s="1253">
        <f>V12/2-Q12</f>
        <v>-3000</v>
      </c>
      <c r="AD12" s="1253" t="s">
        <v>1454</v>
      </c>
      <c r="AE12" s="1253"/>
      <c r="AF12" s="1253"/>
      <c r="AG12" s="1253"/>
      <c r="AJ12" s="1279" t="s">
        <v>1387</v>
      </c>
      <c r="AK12" s="1280" t="s">
        <v>1388</v>
      </c>
    </row>
    <row r="13" spans="2:37" hidden="1" outlineLevel="2">
      <c r="B13" s="751" t="s">
        <v>1343</v>
      </c>
      <c r="C13" s="755">
        <v>0.58499999999999996</v>
      </c>
      <c r="D13" s="755">
        <v>0.27800000000000002</v>
      </c>
      <c r="E13" s="1252">
        <f t="shared" si="8"/>
        <v>0.16263</v>
      </c>
      <c r="F13" s="751"/>
      <c r="G13" s="822"/>
      <c r="H13" s="822"/>
      <c r="I13" s="822"/>
      <c r="J13" s="1285"/>
      <c r="K13" s="1285"/>
      <c r="L13" s="1285"/>
      <c r="M13" s="822">
        <f>CEILING($C$25*E13, 500)</f>
        <v>1000</v>
      </c>
      <c r="N13" s="822">
        <f>CEILING($D$25*E13, 500)</f>
        <v>1000</v>
      </c>
      <c r="O13" s="822"/>
      <c r="P13" s="1254"/>
      <c r="Q13" s="1266"/>
      <c r="R13" s="1266"/>
      <c r="S13" s="1266"/>
      <c r="T13" s="1266"/>
      <c r="U13" s="1266"/>
      <c r="V13" s="1266">
        <f t="shared" si="9"/>
        <v>1000</v>
      </c>
      <c r="W13" s="1266">
        <f t="shared" si="9"/>
        <v>1000</v>
      </c>
      <c r="X13" s="1254"/>
      <c r="Y13" s="1254"/>
      <c r="Z13" s="1254"/>
      <c r="AA13" s="1254">
        <v>450</v>
      </c>
      <c r="AB13" s="1254"/>
      <c r="AC13" s="1253"/>
      <c r="AD13" s="1364">
        <v>1.1499999999999999</v>
      </c>
      <c r="AE13" s="1364">
        <v>1.3</v>
      </c>
      <c r="AF13" s="1488"/>
      <c r="AG13" s="1488"/>
    </row>
    <row r="14" spans="2:37" ht="15.75" hidden="1" outlineLevel="2" thickBot="1">
      <c r="B14" s="1257" t="s">
        <v>1344</v>
      </c>
      <c r="C14" s="1258">
        <v>0.58499999999999996</v>
      </c>
      <c r="D14" s="1258">
        <v>4.2000000000000003E-2</v>
      </c>
      <c r="E14" s="1259">
        <f t="shared" si="8"/>
        <v>2.4570000000000002E-2</v>
      </c>
      <c r="F14" s="1257"/>
      <c r="G14" s="1260"/>
      <c r="H14" s="1260"/>
      <c r="I14" s="1260"/>
      <c r="J14" s="1260"/>
      <c r="K14" s="1260"/>
      <c r="L14" s="1260"/>
      <c r="M14" s="1260">
        <f>CEILING($C$25*E14, 500)</f>
        <v>500</v>
      </c>
      <c r="N14" s="1260">
        <f>CEILING($D$25*E14, 500)</f>
        <v>500</v>
      </c>
      <c r="O14" s="1267"/>
      <c r="P14" s="1261"/>
      <c r="Q14" s="1266"/>
      <c r="R14" s="1266"/>
      <c r="S14" s="1266"/>
      <c r="T14" s="1266"/>
      <c r="U14" s="1266"/>
      <c r="V14" s="1266">
        <f t="shared" si="9"/>
        <v>500</v>
      </c>
      <c r="W14" s="1266">
        <f t="shared" si="9"/>
        <v>500</v>
      </c>
      <c r="X14" s="1254"/>
      <c r="Y14" s="1254"/>
      <c r="Z14" s="1254"/>
      <c r="AA14" s="1254"/>
      <c r="AB14" s="1254"/>
      <c r="AC14" s="1253"/>
      <c r="AD14" s="1285">
        <f>P6*AD13</f>
        <v>7474.9999999999991</v>
      </c>
      <c r="AE14" s="1285">
        <f>P6*AE13</f>
        <v>8450</v>
      </c>
      <c r="AF14" s="1253"/>
      <c r="AG14" s="1253"/>
    </row>
    <row r="15" spans="2:37" ht="15.75" hidden="1" outlineLevel="2" thickTop="1">
      <c r="B15" s="1268" t="s">
        <v>1345</v>
      </c>
      <c r="C15" s="1263">
        <v>0.57599999999999996</v>
      </c>
      <c r="D15" s="1263">
        <v>1.7</v>
      </c>
      <c r="E15" s="1264">
        <f>C15*D15</f>
        <v>0.97919999999999985</v>
      </c>
      <c r="F15" s="1264">
        <f>C15*2+D15*2</f>
        <v>4.5519999999999996</v>
      </c>
      <c r="G15" s="1265"/>
      <c r="H15" s="1265">
        <f>CEILING($C$49*E15+F15*$C$74, 500)</f>
        <v>10000</v>
      </c>
      <c r="I15" s="1265">
        <f>CEILING($D$49*E15+F15*$C$74, 500)</f>
        <v>13000</v>
      </c>
      <c r="J15" s="1265"/>
      <c r="K15" s="1265"/>
      <c r="L15" s="1265"/>
      <c r="M15" s="1265"/>
      <c r="N15" s="1265"/>
      <c r="O15" s="1265"/>
      <c r="P15" s="1265"/>
      <c r="Q15" s="1265"/>
      <c r="R15" s="1265"/>
      <c r="S15" s="1265"/>
      <c r="T15" s="1265"/>
      <c r="U15" s="1265"/>
      <c r="V15" s="1265"/>
      <c r="W15" s="1265"/>
      <c r="X15" s="1253"/>
      <c r="Y15" s="1253"/>
      <c r="Z15" s="1253"/>
      <c r="AA15" s="1253"/>
      <c r="AB15" s="1253"/>
      <c r="AC15" s="1253"/>
      <c r="AD15" s="1253"/>
      <c r="AE15" s="1253"/>
      <c r="AF15" s="1253"/>
      <c r="AG15" s="1253"/>
    </row>
    <row r="16" spans="2:37" ht="30" hidden="1" outlineLevel="2">
      <c r="B16" s="1269" t="s">
        <v>1346</v>
      </c>
      <c r="C16" s="755">
        <v>0.57599999999999996</v>
      </c>
      <c r="D16" s="755">
        <v>1.1259999999999999</v>
      </c>
      <c r="E16" s="1252">
        <f>C16*D16</f>
        <v>0.64857599999999993</v>
      </c>
      <c r="F16" s="1252">
        <f>C16*2+D16*2</f>
        <v>3.4039999999999999</v>
      </c>
      <c r="G16" s="822"/>
      <c r="H16" s="822">
        <f>CEILING($C$49*E16+F16*$C$74,10)</f>
        <v>6750</v>
      </c>
      <c r="I16" s="822">
        <f>CEILING($D$49*E16+F16*$C$74, 50)</f>
        <v>8800</v>
      </c>
      <c r="J16" s="1285"/>
      <c r="K16" s="1285"/>
      <c r="L16" s="1285"/>
      <c r="M16" s="822"/>
      <c r="N16" s="822"/>
      <c r="O16" s="822"/>
      <c r="P16" s="822"/>
      <c r="Q16" s="822"/>
      <c r="R16" s="822"/>
      <c r="S16" s="1285"/>
      <c r="T16" s="1285"/>
      <c r="U16" s="1285"/>
      <c r="V16" s="822"/>
      <c r="W16" s="822"/>
      <c r="X16" s="1253"/>
      <c r="Y16" s="1253"/>
      <c r="Z16" s="1253"/>
      <c r="AA16" s="1253"/>
      <c r="AB16" s="1253"/>
      <c r="AC16" s="1253"/>
      <c r="AD16" s="1253"/>
      <c r="AE16" s="1253"/>
      <c r="AF16" s="1253"/>
      <c r="AG16" s="1253"/>
    </row>
    <row r="17" spans="1:34" ht="30" hidden="1" outlineLevel="2">
      <c r="B17" s="1269" t="s">
        <v>1347</v>
      </c>
      <c r="C17" s="755">
        <f>C18+C19</f>
        <v>1.1519999999999999</v>
      </c>
      <c r="D17" s="755">
        <f>D18+D19</f>
        <v>1.1830000000000001</v>
      </c>
      <c r="E17" s="1252">
        <f>C17*D17</f>
        <v>1.362816</v>
      </c>
      <c r="F17" s="1252">
        <f>C17*2+D17*2</f>
        <v>4.67</v>
      </c>
      <c r="G17" s="822"/>
      <c r="H17" s="1270">
        <f>CEILING($C$49*E17+F17*$C$74, 500)</f>
        <v>12000</v>
      </c>
      <c r="I17" s="1270">
        <f>CEILING($D$49*E17+F17*$C$74, 500)</f>
        <v>16500</v>
      </c>
      <c r="J17" s="1808"/>
      <c r="K17" s="1808"/>
      <c r="L17" s="1808"/>
      <c r="M17" s="822"/>
      <c r="N17" s="822"/>
      <c r="O17" s="1253"/>
      <c r="P17" s="822"/>
      <c r="Q17" s="1270">
        <f>CEILING($C$49*N17+O17*$C$74, 500)</f>
        <v>0</v>
      </c>
      <c r="R17" s="1270">
        <f>CEILING($D$49*N17+O17*$C$74, 500)</f>
        <v>0</v>
      </c>
      <c r="S17" s="1808"/>
      <c r="T17" s="1808"/>
      <c r="U17" s="1808"/>
      <c r="V17" s="822"/>
      <c r="W17" s="822"/>
      <c r="X17" s="1253"/>
      <c r="Y17" s="1253"/>
      <c r="Z17" s="1253"/>
      <c r="AA17" s="1253"/>
      <c r="AB17" s="1253"/>
      <c r="AC17" s="1253"/>
      <c r="AD17" s="1253"/>
      <c r="AE17" s="1253"/>
      <c r="AF17" s="1253"/>
      <c r="AG17" s="1253"/>
      <c r="AH17" s="823"/>
    </row>
    <row r="18" spans="1:34" ht="30" hidden="1" outlineLevel="2">
      <c r="B18" s="1269" t="s">
        <v>1348</v>
      </c>
      <c r="C18" s="755">
        <v>0.57599999999999996</v>
      </c>
      <c r="D18" s="755">
        <v>0.86299999999999999</v>
      </c>
      <c r="E18" s="1252">
        <f>C18*D18</f>
        <v>0.49708799999999997</v>
      </c>
      <c r="F18" s="1252">
        <f>C18*2+D18*2</f>
        <v>2.8780000000000001</v>
      </c>
      <c r="G18" s="822"/>
      <c r="H18" s="1270">
        <f>CEILING($C$49*E18+F18*$C$74, 500)</f>
        <v>5500</v>
      </c>
      <c r="I18" s="1270">
        <f>CEILING($D$49*E18+F18*$C$74, 500)</f>
        <v>7000</v>
      </c>
      <c r="J18" s="1808"/>
      <c r="K18" s="1808"/>
      <c r="L18" s="1808"/>
      <c r="M18" s="822"/>
      <c r="N18" s="822"/>
      <c r="O18" s="1253"/>
      <c r="P18" s="822"/>
      <c r="Q18" s="1270">
        <f>CEILING($C$49*N18+O18*$C$74, 500)</f>
        <v>0</v>
      </c>
      <c r="R18" s="1270">
        <f>CEILING($D$49*N18+O18*$C$74, 500)</f>
        <v>0</v>
      </c>
      <c r="S18" s="1808"/>
      <c r="T18" s="1808"/>
      <c r="U18" s="1808"/>
      <c r="V18" s="822"/>
      <c r="W18" s="822"/>
      <c r="X18" s="1253"/>
      <c r="Y18" s="1253"/>
      <c r="Z18" s="1253"/>
      <c r="AA18" s="1253"/>
      <c r="AB18" s="1253"/>
      <c r="AC18" s="1253"/>
      <c r="AD18" s="1253"/>
      <c r="AE18" s="1253"/>
      <c r="AF18" s="1253"/>
      <c r="AG18" s="1253"/>
    </row>
    <row r="19" spans="1:34" ht="30" hidden="1" outlineLevel="2">
      <c r="B19" s="1269" t="s">
        <v>1349</v>
      </c>
      <c r="C19" s="755">
        <v>0.57599999999999996</v>
      </c>
      <c r="D19" s="755">
        <v>0.32</v>
      </c>
      <c r="E19" s="1252">
        <f>C19*D19</f>
        <v>0.18431999999999998</v>
      </c>
      <c r="F19" s="1252">
        <f>C19*2+D19*2</f>
        <v>1.7919999999999998</v>
      </c>
      <c r="G19" s="822"/>
      <c r="H19" s="1270">
        <f>CEILING($C$49*E19+F19*$C$74, 100)</f>
        <v>2700</v>
      </c>
      <c r="I19" s="1270">
        <f>CEILING($D$49*E19+F19*$C$74, 100)</f>
        <v>3300</v>
      </c>
      <c r="J19" s="1808"/>
      <c r="K19" s="1808"/>
      <c r="L19" s="1808"/>
      <c r="M19" s="822"/>
      <c r="N19" s="822"/>
      <c r="O19" s="1253"/>
      <c r="P19" s="822"/>
      <c r="Q19" s="1270">
        <f>CEILING($C$49*N19+O19*$C$74, 100)</f>
        <v>0</v>
      </c>
      <c r="R19" s="1270">
        <f>CEILING($D$49*N19+O19*$C$74, 100)</f>
        <v>0</v>
      </c>
      <c r="S19" s="1808"/>
      <c r="T19" s="1808"/>
      <c r="U19" s="1808"/>
      <c r="V19" s="822"/>
      <c r="W19" s="822"/>
      <c r="X19" s="1253"/>
      <c r="Y19" s="1253"/>
      <c r="Z19" s="1253"/>
      <c r="AA19" s="1253"/>
      <c r="AB19" s="1253"/>
      <c r="AC19" s="1253"/>
      <c r="AD19" s="1253"/>
      <c r="AE19" s="1253"/>
      <c r="AF19" s="1253"/>
      <c r="AG19" s="1253"/>
    </row>
    <row r="20" spans="1:34" hidden="1" outlineLevel="1"/>
    <row r="21" spans="1:34" hidden="1" outlineLevel="1">
      <c r="R21" s="823"/>
      <c r="S21" s="823"/>
      <c r="T21" s="823"/>
      <c r="U21" s="823"/>
    </row>
    <row r="22" spans="1:34" hidden="1" outlineLevel="1">
      <c r="A22" s="20" t="s">
        <v>1216</v>
      </c>
      <c r="R22" s="471">
        <f>R5/Q5</f>
        <v>1.4361702127659575</v>
      </c>
    </row>
    <row r="23" spans="1:34" hidden="1" outlineLevel="2">
      <c r="A23" s="20"/>
      <c r="B23" s="471" t="s">
        <v>1350</v>
      </c>
      <c r="C23" s="2372">
        <v>2160</v>
      </c>
      <c r="D23" s="821">
        <v>2400</v>
      </c>
    </row>
    <row r="24" spans="1:34" hidden="1" outlineLevel="2">
      <c r="A24" s="20"/>
      <c r="B24" s="471" t="s">
        <v>1351</v>
      </c>
      <c r="C24" s="821">
        <f>C23*1.25</f>
        <v>2700</v>
      </c>
      <c r="D24" s="821">
        <f>D23*1.25</f>
        <v>3000</v>
      </c>
    </row>
    <row r="25" spans="1:34" hidden="1" outlineLevel="2">
      <c r="A25" s="20"/>
      <c r="B25" s="471" t="s">
        <v>1352</v>
      </c>
      <c r="C25" s="821">
        <f>C24*1.65</f>
        <v>4455</v>
      </c>
      <c r="D25" s="821">
        <f>D24*1.65</f>
        <v>4950</v>
      </c>
    </row>
    <row r="26" spans="1:34" s="1271" customFormat="1" hidden="1" outlineLevel="2">
      <c r="A26" s="1246"/>
      <c r="B26" s="1246" t="s">
        <v>1353</v>
      </c>
      <c r="C26" s="1247" t="s">
        <v>525</v>
      </c>
      <c r="D26" s="1246" t="s">
        <v>1354</v>
      </c>
      <c r="E26" s="471"/>
      <c r="G26" s="471"/>
      <c r="H26" s="471"/>
      <c r="M26" s="471"/>
      <c r="P26" s="471"/>
      <c r="Q26" s="471"/>
      <c r="V26" s="471"/>
    </row>
    <row r="27" spans="1:34" hidden="1" outlineLevel="2">
      <c r="A27" s="751">
        <v>1</v>
      </c>
      <c r="B27" s="751" t="s">
        <v>1341</v>
      </c>
      <c r="C27" s="1272">
        <v>5000</v>
      </c>
      <c r="D27" s="1272">
        <v>5500</v>
      </c>
    </row>
    <row r="28" spans="1:34" hidden="1" outlineLevel="2">
      <c r="A28" s="751">
        <v>2</v>
      </c>
      <c r="B28" s="751" t="s">
        <v>1342</v>
      </c>
      <c r="C28" s="1272">
        <v>6000</v>
      </c>
      <c r="D28" s="1272">
        <v>6500</v>
      </c>
    </row>
    <row r="29" spans="1:34" hidden="1" outlineLevel="2">
      <c r="A29" s="751">
        <v>3</v>
      </c>
      <c r="B29" s="751" t="s">
        <v>1343</v>
      </c>
      <c r="C29" s="1272">
        <v>1000</v>
      </c>
      <c r="D29" s="1272">
        <v>1000</v>
      </c>
    </row>
    <row r="30" spans="1:34" hidden="1" outlineLevel="2">
      <c r="A30" s="751">
        <v>4</v>
      </c>
      <c r="B30" s="751" t="s">
        <v>1344</v>
      </c>
      <c r="C30" s="1272">
        <v>500</v>
      </c>
      <c r="D30" s="1272">
        <v>500</v>
      </c>
    </row>
    <row r="31" spans="1:34" hidden="1" outlineLevel="2">
      <c r="A31" s="751"/>
      <c r="B31" s="751"/>
      <c r="C31" s="822"/>
      <c r="D31" s="822"/>
    </row>
    <row r="32" spans="1:34" hidden="1" outlineLevel="2"/>
    <row r="33" spans="1:22" hidden="1" outlineLevel="1"/>
    <row r="34" spans="1:22" hidden="1" outlineLevel="1">
      <c r="A34" s="20" t="s">
        <v>1355</v>
      </c>
    </row>
    <row r="35" spans="1:22" hidden="1" outlineLevel="2">
      <c r="A35" s="20"/>
      <c r="B35" s="471" t="s">
        <v>1350</v>
      </c>
      <c r="C35" s="2372">
        <v>2100</v>
      </c>
      <c r="D35" s="821" t="s">
        <v>733</v>
      </c>
    </row>
    <row r="36" spans="1:22" hidden="1" outlineLevel="2">
      <c r="A36" s="20"/>
      <c r="B36" s="471" t="s">
        <v>1351</v>
      </c>
      <c r="C36" s="821">
        <f>C35*1.25</f>
        <v>2625</v>
      </c>
      <c r="D36" s="821"/>
    </row>
    <row r="37" spans="1:22" hidden="1" outlineLevel="2">
      <c r="A37" s="20"/>
      <c r="B37" s="471" t="s">
        <v>1352</v>
      </c>
      <c r="C37" s="821">
        <f>C36*1.65</f>
        <v>4331.25</v>
      </c>
      <c r="D37" s="821"/>
    </row>
    <row r="38" spans="1:22" s="1271" customFormat="1" ht="75" hidden="1" outlineLevel="2">
      <c r="A38" s="1246"/>
      <c r="B38" s="1246" t="s">
        <v>1353</v>
      </c>
      <c r="C38" s="1247" t="s">
        <v>883</v>
      </c>
      <c r="D38" s="1247" t="s">
        <v>1356</v>
      </c>
      <c r="E38" s="1247" t="s">
        <v>1357</v>
      </c>
      <c r="G38" s="471"/>
      <c r="H38" s="471"/>
      <c r="M38" s="471"/>
      <c r="P38" s="471"/>
      <c r="Q38" s="471"/>
      <c r="V38" s="471"/>
    </row>
    <row r="39" spans="1:22" hidden="1" outlineLevel="2">
      <c r="A39" s="751">
        <v>4</v>
      </c>
      <c r="B39" s="751" t="s">
        <v>1337</v>
      </c>
      <c r="C39" s="822">
        <v>7000</v>
      </c>
      <c r="D39" s="822">
        <f>CEILING(C39*0.6, 500)</f>
        <v>4500</v>
      </c>
      <c r="E39" s="822">
        <f>C39</f>
        <v>7000</v>
      </c>
      <c r="G39" s="823"/>
    </row>
    <row r="40" spans="1:22" hidden="1" outlineLevel="2">
      <c r="A40" s="751">
        <v>1</v>
      </c>
      <c r="B40" s="751" t="s">
        <v>1358</v>
      </c>
      <c r="C40" s="1272">
        <v>1500</v>
      </c>
      <c r="D40" s="822">
        <f>CEILING(C40*0.6, 500)</f>
        <v>1000</v>
      </c>
      <c r="E40" s="822">
        <f>C40</f>
        <v>1500</v>
      </c>
    </row>
    <row r="41" spans="1:22" hidden="1" outlineLevel="2">
      <c r="A41" s="751">
        <v>2</v>
      </c>
      <c r="B41" s="751" t="s">
        <v>1359</v>
      </c>
      <c r="C41" s="1272">
        <v>2000</v>
      </c>
      <c r="D41" s="822">
        <f>CEILING(C41*0.6, 500)</f>
        <v>1500</v>
      </c>
      <c r="E41" s="822">
        <f>C41</f>
        <v>2000</v>
      </c>
    </row>
    <row r="42" spans="1:22" hidden="1" outlineLevel="2">
      <c r="A42" s="751">
        <v>3</v>
      </c>
      <c r="B42" s="751" t="s">
        <v>1140</v>
      </c>
      <c r="C42" s="1272">
        <v>6000</v>
      </c>
      <c r="D42" s="822">
        <f>CEILING(C42*0.6, 500)</f>
        <v>4000</v>
      </c>
      <c r="E42" s="822">
        <f>C42</f>
        <v>6000</v>
      </c>
    </row>
    <row r="43" spans="1:22" hidden="1" outlineLevel="2">
      <c r="A43" s="751"/>
      <c r="B43" s="751"/>
      <c r="C43" s="822"/>
      <c r="D43" s="822"/>
      <c r="E43" s="822"/>
    </row>
    <row r="44" spans="1:22" hidden="1" outlineLevel="2"/>
    <row r="45" spans="1:22" hidden="1" outlineLevel="1">
      <c r="G45" s="823"/>
    </row>
    <row r="46" spans="1:22" hidden="1" outlineLevel="1">
      <c r="A46" s="20" t="s">
        <v>1360</v>
      </c>
      <c r="G46" s="20" t="s">
        <v>1790</v>
      </c>
    </row>
    <row r="47" spans="1:22" hidden="1" outlineLevel="2">
      <c r="A47" s="20"/>
      <c r="B47" s="471" t="s">
        <v>1350</v>
      </c>
      <c r="C47" s="821">
        <v>2623</v>
      </c>
      <c r="D47" s="821">
        <v>4150</v>
      </c>
      <c r="E47" s="821">
        <v>4000</v>
      </c>
      <c r="F47" s="821" t="s">
        <v>733</v>
      </c>
      <c r="G47" s="821">
        <v>4100</v>
      </c>
      <c r="H47" s="821">
        <v>5200</v>
      </c>
      <c r="I47" s="821">
        <v>5200</v>
      </c>
      <c r="J47" s="821" t="s">
        <v>733</v>
      </c>
    </row>
    <row r="48" spans="1:22" hidden="1" outlineLevel="2">
      <c r="A48" s="20"/>
      <c r="B48" s="471" t="s">
        <v>1351</v>
      </c>
      <c r="C48" s="821">
        <f>C47*1.25</f>
        <v>3278.75</v>
      </c>
      <c r="D48" s="821">
        <f>D47*1.25</f>
        <v>5187.5</v>
      </c>
      <c r="E48" s="821">
        <f>E47*1.25</f>
        <v>5000</v>
      </c>
      <c r="G48" s="821">
        <f>G47*1.25</f>
        <v>5125</v>
      </c>
      <c r="H48" s="821">
        <f>H47*1.25</f>
        <v>6500</v>
      </c>
      <c r="I48" s="821">
        <f>I47*1.25</f>
        <v>6500</v>
      </c>
    </row>
    <row r="49" spans="1:22" hidden="1" outlineLevel="2">
      <c r="A49" s="20"/>
      <c r="B49" s="471" t="s">
        <v>1352</v>
      </c>
      <c r="C49" s="821">
        <f>C48*1.65</f>
        <v>5409.9375</v>
      </c>
      <c r="D49" s="821">
        <f>D48*1.65</f>
        <v>8559.375</v>
      </c>
      <c r="E49" s="821">
        <f>E48*1.65</f>
        <v>8250</v>
      </c>
      <c r="G49" s="821">
        <f>G48*1.65</f>
        <v>8456.25</v>
      </c>
      <c r="H49" s="821">
        <f>H48*1.65</f>
        <v>10725</v>
      </c>
      <c r="I49" s="821">
        <f>I48*1.65</f>
        <v>10725</v>
      </c>
      <c r="K49" s="471" t="s">
        <v>1792</v>
      </c>
    </row>
    <row r="50" spans="1:22" s="1271" customFormat="1" hidden="1" outlineLevel="2">
      <c r="A50" s="1246"/>
      <c r="B50" s="1246" t="s">
        <v>1353</v>
      </c>
      <c r="C50" s="1246" t="s">
        <v>1333</v>
      </c>
      <c r="D50" s="1246" t="s">
        <v>232</v>
      </c>
      <c r="E50" s="1246" t="s">
        <v>1361</v>
      </c>
      <c r="G50" s="1793" t="s">
        <v>1333</v>
      </c>
      <c r="H50" s="1793" t="s">
        <v>232</v>
      </c>
      <c r="I50" s="1793" t="s">
        <v>1361</v>
      </c>
      <c r="J50" s="1809"/>
      <c r="K50" s="1246" t="s">
        <v>1333</v>
      </c>
      <c r="L50" s="1246" t="s">
        <v>232</v>
      </c>
      <c r="M50" s="1246" t="s">
        <v>1361</v>
      </c>
      <c r="P50" s="471"/>
      <c r="Q50" s="471"/>
      <c r="R50" s="471"/>
      <c r="S50" s="471"/>
      <c r="T50" s="471"/>
      <c r="U50" s="471"/>
      <c r="V50" s="471"/>
    </row>
    <row r="51" spans="1:22" hidden="1" outlineLevel="2">
      <c r="A51" s="751">
        <v>1</v>
      </c>
      <c r="B51" s="751" t="s">
        <v>1358</v>
      </c>
      <c r="C51" s="822">
        <v>900</v>
      </c>
      <c r="D51" s="822">
        <v>1900</v>
      </c>
      <c r="E51" s="822">
        <v>2150</v>
      </c>
      <c r="G51" s="822"/>
      <c r="H51" s="822"/>
      <c r="I51" s="822"/>
      <c r="J51" s="1253"/>
      <c r="K51" s="822">
        <f>H9</f>
        <v>1500</v>
      </c>
      <c r="L51" s="822">
        <f>I9</f>
        <v>2000</v>
      </c>
      <c r="M51" s="822">
        <v>2150</v>
      </c>
    </row>
    <row r="52" spans="1:22" hidden="1" outlineLevel="2">
      <c r="A52" s="751">
        <v>2</v>
      </c>
      <c r="B52" s="751" t="s">
        <v>1359</v>
      </c>
      <c r="C52" s="822">
        <v>1200</v>
      </c>
      <c r="D52" s="822">
        <v>2500</v>
      </c>
      <c r="E52" s="822">
        <v>2800</v>
      </c>
      <c r="G52" s="822"/>
      <c r="H52" s="822"/>
      <c r="I52" s="822"/>
      <c r="J52" s="1253"/>
      <c r="K52" s="822">
        <f>G7</f>
        <v>2500</v>
      </c>
      <c r="L52" s="822">
        <f>I7</f>
        <v>4500</v>
      </c>
      <c r="M52" s="822">
        <v>2800</v>
      </c>
    </row>
    <row r="53" spans="1:22" hidden="1" outlineLevel="2">
      <c r="A53" s="751">
        <v>3</v>
      </c>
      <c r="B53" s="751" t="s">
        <v>1140</v>
      </c>
      <c r="C53" s="822">
        <v>3150</v>
      </c>
      <c r="D53" s="822">
        <v>6750</v>
      </c>
      <c r="E53" s="822">
        <v>7750</v>
      </c>
      <c r="G53" s="822"/>
      <c r="H53" s="822"/>
      <c r="I53" s="822"/>
      <c r="J53" s="1253"/>
      <c r="K53" s="822">
        <v>3150</v>
      </c>
      <c r="L53" s="822">
        <v>6750</v>
      </c>
      <c r="M53" s="822">
        <v>7750</v>
      </c>
    </row>
    <row r="54" spans="1:22" hidden="1" outlineLevel="2">
      <c r="A54" s="751">
        <v>4</v>
      </c>
      <c r="B54" s="751" t="s">
        <v>1337</v>
      </c>
      <c r="C54" s="822">
        <v>3500</v>
      </c>
      <c r="D54" s="822">
        <v>7500</v>
      </c>
      <c r="E54" s="822">
        <v>8600</v>
      </c>
      <c r="G54" s="822"/>
      <c r="H54" s="822"/>
      <c r="I54" s="822"/>
      <c r="J54" s="1253"/>
      <c r="K54" s="822">
        <v>3500</v>
      </c>
      <c r="L54" s="822">
        <v>7500</v>
      </c>
      <c r="M54" s="822">
        <v>8600</v>
      </c>
    </row>
    <row r="55" spans="1:22" hidden="1" outlineLevel="2" collapsed="1">
      <c r="A55" s="751"/>
      <c r="B55" s="751"/>
      <c r="C55" s="822"/>
      <c r="D55" s="822"/>
      <c r="E55" s="822"/>
      <c r="G55" s="822"/>
      <c r="H55" s="822"/>
      <c r="I55" s="822"/>
      <c r="J55" s="1253"/>
      <c r="K55" s="822"/>
      <c r="L55" s="822"/>
      <c r="M55" s="822"/>
    </row>
    <row r="56" spans="1:22" hidden="1" outlineLevel="2">
      <c r="A56" s="751"/>
      <c r="B56" s="1273" t="s">
        <v>1362</v>
      </c>
      <c r="C56" s="1246" t="s">
        <v>1333</v>
      </c>
      <c r="D56" s="1246" t="s">
        <v>232</v>
      </c>
      <c r="E56" s="1246" t="s">
        <v>1361</v>
      </c>
      <c r="G56" s="822"/>
      <c r="H56" s="822"/>
      <c r="I56" s="822"/>
      <c r="J56" s="1253"/>
      <c r="K56" s="822"/>
      <c r="L56" s="822"/>
      <c r="M56" s="822"/>
    </row>
    <row r="57" spans="1:22" s="34" customFormat="1" hidden="1" outlineLevel="2">
      <c r="A57" s="1269"/>
      <c r="B57" s="1269" t="s">
        <v>1345</v>
      </c>
      <c r="C57" s="826">
        <v>2300</v>
      </c>
      <c r="D57" s="826">
        <v>5000</v>
      </c>
      <c r="E57" s="826">
        <v>5700</v>
      </c>
      <c r="G57" s="826"/>
      <c r="H57" s="826"/>
      <c r="I57" s="826"/>
      <c r="J57" s="1810"/>
      <c r="K57" s="826">
        <v>2300</v>
      </c>
      <c r="L57" s="826">
        <v>5000</v>
      </c>
      <c r="M57" s="826">
        <v>5700</v>
      </c>
      <c r="P57" s="471"/>
      <c r="Q57" s="471"/>
      <c r="R57" s="471"/>
      <c r="S57" s="471"/>
      <c r="T57" s="471"/>
      <c r="U57" s="471"/>
    </row>
    <row r="58" spans="1:22" s="34" customFormat="1" ht="30" hidden="1" outlineLevel="2">
      <c r="A58" s="1269"/>
      <c r="B58" s="1269" t="s">
        <v>1346</v>
      </c>
      <c r="C58" s="826">
        <v>1500</v>
      </c>
      <c r="D58" s="826">
        <v>3300</v>
      </c>
      <c r="E58" s="826">
        <v>3800</v>
      </c>
      <c r="G58" s="826"/>
      <c r="H58" s="826"/>
      <c r="I58" s="826"/>
      <c r="J58" s="1810"/>
      <c r="K58" s="826">
        <v>1500</v>
      </c>
      <c r="L58" s="826">
        <v>3300</v>
      </c>
      <c r="M58" s="826">
        <v>3800</v>
      </c>
      <c r="P58" s="471"/>
      <c r="Q58" s="471"/>
      <c r="R58" s="471"/>
      <c r="S58" s="471"/>
      <c r="T58" s="471"/>
      <c r="U58" s="471"/>
    </row>
    <row r="59" spans="1:22" ht="15" hidden="1" customHeight="1" outlineLevel="2">
      <c r="A59" s="751">
        <v>1</v>
      </c>
      <c r="B59" s="751" t="s">
        <v>1363</v>
      </c>
      <c r="C59" s="822">
        <f>'[1]E-Classic'!$G$17</f>
        <v>2300</v>
      </c>
      <c r="D59" s="822">
        <f>'[1]E-Classic'!$G$18</f>
        <v>5000</v>
      </c>
      <c r="E59" s="822">
        <f>'[1]E-Classic'!$G$19</f>
        <v>5700</v>
      </c>
    </row>
    <row r="60" spans="1:22" ht="15" hidden="1" customHeight="1" outlineLevel="2">
      <c r="A60" s="751">
        <v>2</v>
      </c>
      <c r="B60" s="751" t="s">
        <v>1364</v>
      </c>
      <c r="C60" s="822">
        <f>'[1]E-Classic'!$H$17</f>
        <v>1500</v>
      </c>
      <c r="D60" s="822">
        <f>'[1]E-Classic'!$H$18</f>
        <v>3300</v>
      </c>
      <c r="E60" s="822">
        <f>'[1]E-Classic'!$H$19</f>
        <v>3800</v>
      </c>
    </row>
    <row r="61" spans="1:22" ht="15" hidden="1" customHeight="1" outlineLevel="2">
      <c r="A61" s="751">
        <v>4</v>
      </c>
      <c r="B61" s="751" t="s">
        <v>1058</v>
      </c>
      <c r="C61" s="822">
        <v>2300</v>
      </c>
      <c r="D61" s="822">
        <v>5000</v>
      </c>
      <c r="E61" s="822">
        <v>5700</v>
      </c>
    </row>
    <row r="62" spans="1:22" ht="15" hidden="1" customHeight="1" outlineLevel="2">
      <c r="A62" s="751">
        <v>5</v>
      </c>
      <c r="B62" s="751" t="s">
        <v>689</v>
      </c>
      <c r="C62" s="822">
        <v>1500</v>
      </c>
      <c r="D62" s="822">
        <v>3300</v>
      </c>
      <c r="E62" s="822">
        <v>3800</v>
      </c>
    </row>
    <row r="63" spans="1:22" ht="15" hidden="1" customHeight="1" outlineLevel="2">
      <c r="A63" s="751">
        <v>8</v>
      </c>
      <c r="B63" s="751" t="s">
        <v>1365</v>
      </c>
      <c r="C63" s="822">
        <f>'[1]Classic Rimini '!$G$25</f>
        <v>2300</v>
      </c>
      <c r="D63" s="822">
        <f>'[1]Classic Rimini '!$G$26</f>
        <v>5000</v>
      </c>
      <c r="E63" s="822">
        <f>'[1]Classic Rimini '!$G$27</f>
        <v>5700</v>
      </c>
    </row>
    <row r="64" spans="1:22" ht="15" hidden="1" customHeight="1" outlineLevel="2">
      <c r="A64" s="751">
        <v>9</v>
      </c>
      <c r="B64" s="751" t="s">
        <v>1366</v>
      </c>
      <c r="C64" s="822">
        <f>'[1]Classic Rimini '!$H$25</f>
        <v>1500</v>
      </c>
      <c r="D64" s="822">
        <f>'[1]Classic Rimini '!$H$26</f>
        <v>3300</v>
      </c>
      <c r="E64" s="822">
        <f>'[1]Classic Rimini '!$H$27</f>
        <v>3800</v>
      </c>
    </row>
    <row r="65" spans="1:22" ht="15" hidden="1" customHeight="1" outlineLevel="2">
      <c r="A65" s="751">
        <v>11</v>
      </c>
      <c r="B65" s="751" t="s">
        <v>537</v>
      </c>
      <c r="C65" s="822">
        <f>[1]Elegance!$G$16</f>
        <v>2300</v>
      </c>
      <c r="D65" s="822">
        <f>[1]Elegance!$G$17</f>
        <v>5000</v>
      </c>
      <c r="E65" s="822">
        <f>[1]Elegance!$G$18</f>
        <v>5700</v>
      </c>
    </row>
    <row r="66" spans="1:22" ht="15" hidden="1" customHeight="1" outlineLevel="2">
      <c r="A66" s="751">
        <v>12</v>
      </c>
      <c r="B66" s="751" t="s">
        <v>538</v>
      </c>
      <c r="C66" s="822">
        <f>[1]Elegance!$H$16</f>
        <v>1500</v>
      </c>
      <c r="D66" s="822">
        <f>[1]Elegance!$H$17</f>
        <v>3300</v>
      </c>
      <c r="E66" s="822">
        <f>[1]Elegance!$H$18</f>
        <v>3800</v>
      </c>
    </row>
    <row r="67" spans="1:22" ht="15" hidden="1" customHeight="1" outlineLevel="2">
      <c r="A67" s="751">
        <v>13</v>
      </c>
      <c r="B67" s="751" t="s">
        <v>656</v>
      </c>
      <c r="C67" s="822">
        <f>[1]Elegance!$I$16</f>
        <v>1500</v>
      </c>
      <c r="D67" s="822">
        <f>[1]Elegance!$I$17</f>
        <v>3300</v>
      </c>
      <c r="E67" s="822">
        <f>[1]Elegance!$I$18</f>
        <v>3800</v>
      </c>
    </row>
    <row r="68" spans="1:22" ht="15" hidden="1" customHeight="1" outlineLevel="2">
      <c r="A68" s="751">
        <v>16</v>
      </c>
      <c r="B68" s="751" t="s">
        <v>693</v>
      </c>
      <c r="C68" s="822">
        <f t="shared" ref="C68:E69" si="10">C65</f>
        <v>2300</v>
      </c>
      <c r="D68" s="822">
        <f t="shared" si="10"/>
        <v>5000</v>
      </c>
      <c r="E68" s="822">
        <f t="shared" si="10"/>
        <v>5700</v>
      </c>
    </row>
    <row r="69" spans="1:22" ht="15" hidden="1" customHeight="1" outlineLevel="2">
      <c r="A69" s="751">
        <v>17</v>
      </c>
      <c r="B69" s="751" t="s">
        <v>694</v>
      </c>
      <c r="C69" s="822">
        <f t="shared" si="10"/>
        <v>1500</v>
      </c>
      <c r="D69" s="822">
        <f t="shared" si="10"/>
        <v>3300</v>
      </c>
      <c r="E69" s="822">
        <f t="shared" si="10"/>
        <v>3800</v>
      </c>
    </row>
    <row r="70" spans="1:22" ht="15" hidden="1" customHeight="1" outlineLevel="2">
      <c r="A70" s="751">
        <v>20</v>
      </c>
      <c r="B70" s="751" t="s">
        <v>235</v>
      </c>
      <c r="C70" s="822">
        <f t="shared" ref="C70:E71" si="11">C65</f>
        <v>2300</v>
      </c>
      <c r="D70" s="822">
        <f t="shared" si="11"/>
        <v>5000</v>
      </c>
      <c r="E70" s="822">
        <f t="shared" si="11"/>
        <v>5700</v>
      </c>
    </row>
    <row r="71" spans="1:22" ht="15" hidden="1" customHeight="1" outlineLevel="2">
      <c r="A71" s="751">
        <v>21</v>
      </c>
      <c r="B71" s="751" t="s">
        <v>236</v>
      </c>
      <c r="C71" s="822">
        <f t="shared" si="11"/>
        <v>1500</v>
      </c>
      <c r="D71" s="822">
        <f t="shared" si="11"/>
        <v>3300</v>
      </c>
      <c r="E71" s="822">
        <f t="shared" si="11"/>
        <v>3800</v>
      </c>
    </row>
    <row r="72" spans="1:22" ht="15" hidden="1" customHeight="1" outlineLevel="2">
      <c r="A72" s="751">
        <v>22</v>
      </c>
      <c r="B72" s="751" t="s">
        <v>237</v>
      </c>
      <c r="C72" s="822">
        <f>C66</f>
        <v>1500</v>
      </c>
      <c r="D72" s="822">
        <f>D66</f>
        <v>3300</v>
      </c>
      <c r="E72" s="822">
        <f>E66</f>
        <v>3800</v>
      </c>
    </row>
    <row r="73" spans="1:22" hidden="1" outlineLevel="1"/>
    <row r="74" spans="1:22" hidden="1" outlineLevel="1">
      <c r="A74" s="20"/>
      <c r="B74" s="20" t="s">
        <v>878</v>
      </c>
      <c r="C74" s="471">
        <v>950</v>
      </c>
      <c r="D74" s="471" t="s">
        <v>1367</v>
      </c>
    </row>
    <row r="75" spans="1:22" hidden="1" outlineLevel="1"/>
    <row r="76" spans="1:22" hidden="1" outlineLevel="1">
      <c r="A76" s="20" t="s">
        <v>962</v>
      </c>
    </row>
    <row r="77" spans="1:22" s="15" customFormat="1" ht="36" hidden="1" outlineLevel="3">
      <c r="C77" s="15" t="s">
        <v>1368</v>
      </c>
      <c r="D77" s="15" t="s">
        <v>879</v>
      </c>
      <c r="E77" s="15" t="s">
        <v>880</v>
      </c>
      <c r="F77" s="15" t="s">
        <v>1369</v>
      </c>
      <c r="G77" s="15" t="s">
        <v>1370</v>
      </c>
      <c r="H77" s="15" t="s">
        <v>1370</v>
      </c>
      <c r="I77" s="15" t="s">
        <v>1371</v>
      </c>
      <c r="M77" s="15" t="s">
        <v>1371</v>
      </c>
      <c r="N77" s="15" t="s">
        <v>1372</v>
      </c>
    </row>
    <row r="78" spans="1:22" hidden="1" outlineLevel="3">
      <c r="C78" s="471" t="s">
        <v>1373</v>
      </c>
      <c r="D78" s="471" t="s">
        <v>1373</v>
      </c>
      <c r="E78" s="471" t="s">
        <v>1373</v>
      </c>
      <c r="F78" s="471" t="s">
        <v>1373</v>
      </c>
      <c r="G78" s="471" t="s">
        <v>1373</v>
      </c>
      <c r="H78" s="471" t="s">
        <v>1374</v>
      </c>
      <c r="I78" s="471" t="s">
        <v>1373</v>
      </c>
      <c r="M78" s="471" t="s">
        <v>1374</v>
      </c>
      <c r="N78" s="471" t="s">
        <v>1373</v>
      </c>
    </row>
    <row r="79" spans="1:22" hidden="1" outlineLevel="3">
      <c r="B79" s="1269" t="s">
        <v>1345</v>
      </c>
      <c r="C79" s="822">
        <v>1600</v>
      </c>
      <c r="D79" s="822">
        <f>CEILING(C79*1.3, 10)</f>
        <v>2080</v>
      </c>
      <c r="E79" s="822">
        <f>CEILING(C79*1.65, 10)</f>
        <v>2640</v>
      </c>
      <c r="F79" s="822">
        <f>CEILING(D79*1.1, 10)</f>
        <v>2290</v>
      </c>
      <c r="G79" s="822">
        <f>CEILING(D79*1.3, 10)</f>
        <v>2710</v>
      </c>
      <c r="H79" s="1253">
        <f>G79*2</f>
        <v>5420</v>
      </c>
      <c r="I79" s="471">
        <v>730</v>
      </c>
      <c r="M79" s="1253">
        <f>I79*2</f>
        <v>1460</v>
      </c>
      <c r="N79" s="471">
        <v>750</v>
      </c>
      <c r="Q79" s="1253"/>
      <c r="V79" s="1253"/>
    </row>
    <row r="80" spans="1:22" ht="30" hidden="1" outlineLevel="3">
      <c r="B80" s="1269" t="s">
        <v>1375</v>
      </c>
      <c r="C80" s="822">
        <v>1050</v>
      </c>
      <c r="D80" s="822">
        <f>CEILING(C80*1.3, 5)</f>
        <v>1365</v>
      </c>
      <c r="E80" s="822">
        <f>CEILING(C80*1.65, 5)</f>
        <v>1735</v>
      </c>
      <c r="F80" s="822">
        <f>CEILING(D80*1.1,5)</f>
        <v>1505</v>
      </c>
      <c r="G80" s="822">
        <f>CEILING(D80*1.3, 5)</f>
        <v>1775</v>
      </c>
      <c r="H80" s="1253">
        <f t="shared" ref="H80:H85" si="12">G80*2</f>
        <v>3550</v>
      </c>
      <c r="I80" s="471">
        <v>520</v>
      </c>
      <c r="M80" s="1253">
        <f>I80*2</f>
        <v>1040</v>
      </c>
      <c r="N80" s="471">
        <v>550</v>
      </c>
      <c r="Q80" s="1253"/>
      <c r="V80" s="1253"/>
    </row>
    <row r="81" spans="2:22" ht="30" hidden="1" outlineLevel="3">
      <c r="B81" s="1269" t="s">
        <v>1347</v>
      </c>
      <c r="C81" s="822">
        <v>1100</v>
      </c>
      <c r="D81" s="822">
        <f>CEILING(C81*1.3, 5)</f>
        <v>1430</v>
      </c>
      <c r="E81" s="822">
        <f>CEILING(C81*1.65, 5)</f>
        <v>1815</v>
      </c>
      <c r="F81" s="822">
        <f>CEILING(D81*1.1,5)</f>
        <v>1575</v>
      </c>
      <c r="G81" s="822">
        <f>CEILING(D81*1.3, 5)</f>
        <v>1860</v>
      </c>
      <c r="H81" s="1253">
        <f t="shared" si="12"/>
        <v>3720</v>
      </c>
      <c r="I81" s="471">
        <v>520</v>
      </c>
      <c r="M81" s="1253">
        <f>I81*2</f>
        <v>1040</v>
      </c>
      <c r="N81" s="471">
        <v>550</v>
      </c>
      <c r="Q81" s="1253"/>
      <c r="V81" s="1253"/>
    </row>
    <row r="82" spans="2:22" ht="30" hidden="1" outlineLevel="3">
      <c r="B82" s="1269" t="s">
        <v>1348</v>
      </c>
      <c r="C82" s="822">
        <f>C81*0.7</f>
        <v>770</v>
      </c>
      <c r="D82" s="822">
        <f>CEILING(C82*1.3, 10)</f>
        <v>1010</v>
      </c>
      <c r="E82" s="822">
        <f>CEILING(C82*1.65, 10)</f>
        <v>1280</v>
      </c>
      <c r="F82" s="822">
        <f>CEILING(D82*1.1, 10)</f>
        <v>1120</v>
      </c>
      <c r="G82" s="822">
        <f>CEILING(D82*1.3, 10)</f>
        <v>1320</v>
      </c>
      <c r="H82" s="1253">
        <f t="shared" si="12"/>
        <v>2640</v>
      </c>
      <c r="I82" s="471">
        <v>370</v>
      </c>
      <c r="M82" s="1253">
        <f>I82*2</f>
        <v>740</v>
      </c>
      <c r="N82" s="471">
        <v>400</v>
      </c>
      <c r="Q82" s="1253"/>
      <c r="V82" s="1253"/>
    </row>
    <row r="83" spans="2:22" ht="30" hidden="1" outlineLevel="3">
      <c r="B83" s="1269" t="s">
        <v>1349</v>
      </c>
      <c r="C83" s="822">
        <f>C81*0.3</f>
        <v>330</v>
      </c>
      <c r="D83" s="822">
        <f>CEILING(C83*1.3, 10)</f>
        <v>430</v>
      </c>
      <c r="E83" s="822">
        <f>CEILING(C83*1.65, 10)</f>
        <v>550</v>
      </c>
      <c r="F83" s="822">
        <f>CEILING(D83*1.1, 10)</f>
        <v>480</v>
      </c>
      <c r="G83" s="822">
        <f>CEILING(D83*1.3, 10)</f>
        <v>560</v>
      </c>
      <c r="H83" s="1253">
        <f t="shared" si="12"/>
        <v>1120</v>
      </c>
      <c r="I83" s="471">
        <v>160</v>
      </c>
      <c r="M83" s="1253">
        <v>320</v>
      </c>
      <c r="N83" s="471">
        <v>200</v>
      </c>
      <c r="Q83" s="1253"/>
      <c r="V83" s="1253"/>
    </row>
    <row r="84" spans="2:22" hidden="1" outlineLevel="3">
      <c r="B84" s="1338" t="s">
        <v>1403</v>
      </c>
      <c r="C84" s="1285"/>
      <c r="D84" s="1285"/>
      <c r="E84" s="1285"/>
      <c r="F84" s="1337"/>
      <c r="G84" s="1337"/>
      <c r="H84" s="1253"/>
      <c r="M84" s="1253"/>
      <c r="Q84" s="1253"/>
      <c r="V84" s="1253"/>
    </row>
    <row r="85" spans="2:22" hidden="1" outlineLevel="3">
      <c r="C85" s="1274"/>
      <c r="D85" s="1275">
        <f>CEILING(C85*1.3, 100)</f>
        <v>0</v>
      </c>
      <c r="E85" s="1275">
        <f t="shared" ref="E85" si="13">CEILING(C85*1.65, 100)</f>
        <v>0</v>
      </c>
      <c r="F85" s="1275">
        <f t="shared" ref="F85" si="14">CEILING(D85*1.1, 100)</f>
        <v>0</v>
      </c>
      <c r="G85" s="1275">
        <f t="shared" ref="G85" si="15">CEILING(D85*1.3, 100)</f>
        <v>0</v>
      </c>
      <c r="H85" s="1276">
        <f t="shared" si="12"/>
        <v>0</v>
      </c>
    </row>
    <row r="86" spans="2:22" hidden="1" outlineLevel="3">
      <c r="B86" s="1277" t="s">
        <v>1371</v>
      </c>
    </row>
    <row r="87" spans="2:22" hidden="1" outlineLevel="3">
      <c r="B87" s="1335" t="s">
        <v>878</v>
      </c>
    </row>
    <row r="88" spans="2:22" hidden="1" outlineLevel="3">
      <c r="B88" s="1277" t="s">
        <v>1376</v>
      </c>
      <c r="C88" s="471">
        <f>C79*1.2*E15+(0.09*2+0.15*2)*C74*8</f>
        <v>5528.0639999999994</v>
      </c>
      <c r="D88" s="471">
        <v>8000</v>
      </c>
    </row>
    <row r="89" spans="2:22" hidden="1" outlineLevel="3">
      <c r="B89" s="1277" t="s">
        <v>1377</v>
      </c>
      <c r="C89" s="471">
        <f>C79*1.2*E16+(0.09*2+0.15*2)*C74*6</f>
        <v>3981.2659199999998</v>
      </c>
      <c r="D89" s="471">
        <v>6000</v>
      </c>
    </row>
    <row r="90" spans="2:22" hidden="1" outlineLevel="3">
      <c r="B90" s="471" t="s">
        <v>1378</v>
      </c>
      <c r="C90" s="471">
        <f>C79*E17+(0.17*2+0.1*2)*C74*8</f>
        <v>6284.5056000000004</v>
      </c>
      <c r="D90" s="303">
        <v>10000</v>
      </c>
      <c r="E90" s="471" t="s">
        <v>1379</v>
      </c>
    </row>
    <row r="91" spans="2:22" hidden="1" outlineLevel="3">
      <c r="B91" s="471" t="s">
        <v>1380</v>
      </c>
      <c r="C91" s="471">
        <f>C90/2</f>
        <v>3142.2528000000002</v>
      </c>
      <c r="D91" s="471">
        <v>5000</v>
      </c>
      <c r="E91" s="471" t="s">
        <v>1381</v>
      </c>
    </row>
    <row r="92" spans="2:22" hidden="1" outlineLevel="3">
      <c r="B92" s="471" t="s">
        <v>1382</v>
      </c>
      <c r="C92" s="471">
        <f>C90/4*3</f>
        <v>4713.3792000000003</v>
      </c>
      <c r="D92" s="471">
        <v>3000</v>
      </c>
      <c r="E92" s="471" t="s">
        <v>1381</v>
      </c>
    </row>
    <row r="93" spans="2:22" hidden="1" outlineLevel="3"/>
    <row r="94" spans="2:22" hidden="1" outlineLevel="3"/>
    <row r="95" spans="2:22" hidden="1" outlineLevel="3">
      <c r="B95" s="471" t="s">
        <v>1412</v>
      </c>
      <c r="C95" s="471" t="s">
        <v>1413</v>
      </c>
    </row>
    <row r="96" spans="2:22" hidden="1" outlineLevel="3">
      <c r="B96" s="471" t="s">
        <v>1414</v>
      </c>
    </row>
    <row r="97" spans="2:5" hidden="1" outlineLevel="3">
      <c r="B97" s="471" t="s">
        <v>1416</v>
      </c>
    </row>
    <row r="98" spans="2:5" hidden="1" outlineLevel="3">
      <c r="B98" s="471" t="s">
        <v>879</v>
      </c>
      <c r="C98" s="471">
        <v>780</v>
      </c>
      <c r="E98" s="823"/>
    </row>
    <row r="99" spans="2:5" hidden="1" outlineLevel="3">
      <c r="B99" s="471" t="s">
        <v>880</v>
      </c>
      <c r="C99" s="471">
        <v>1550</v>
      </c>
    </row>
    <row r="100" spans="2:5" hidden="1" outlineLevel="3"/>
    <row r="101" spans="2:5" hidden="1" outlineLevel="1">
      <c r="C101" s="471" t="s">
        <v>1760</v>
      </c>
    </row>
    <row r="102" spans="2:5" hidden="1" outlineLevel="1"/>
    <row r="103" spans="2:5" hidden="1" outlineLevel="1"/>
    <row r="104" spans="2:5" hidden="1" outlineLevel="1"/>
    <row r="105" spans="2:5" hidden="1" outlineLevel="1"/>
    <row r="106" spans="2:5" hidden="1" outlineLevel="1"/>
    <row r="107" spans="2:5" collapsed="1"/>
  </sheetData>
  <sheetProtection password="E910" sheet="1" objects="1" scenarios="1" formatCells="0" formatColumns="0" formatRows="0" insertColumns="0" insertRows="0" insertHyperlinks="0" deleteColumns="0" deleteRows="0"/>
  <mergeCells count="14">
    <mergeCell ref="AD2:AE2"/>
    <mergeCell ref="AF2:AG2"/>
    <mergeCell ref="Q3:R3"/>
    <mergeCell ref="V3:W3"/>
    <mergeCell ref="AK3:AK6"/>
    <mergeCell ref="S3:U3"/>
    <mergeCell ref="AK8:AK10"/>
    <mergeCell ref="B3:B4"/>
    <mergeCell ref="C3:E3"/>
    <mergeCell ref="G3:G4"/>
    <mergeCell ref="H3:I3"/>
    <mergeCell ref="M3:N3"/>
    <mergeCell ref="P3:P4"/>
    <mergeCell ref="J3:L3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7">
    <tabColor rgb="FF00B0F0"/>
  </sheetPr>
  <dimension ref="A1:EF52"/>
  <sheetViews>
    <sheetView zoomScale="60" zoomScaleNormal="60" zoomScaleSheetLayoutView="91" zoomScalePageLayoutView="55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I39" sqref="BI39"/>
    </sheetView>
  </sheetViews>
  <sheetFormatPr defaultColWidth="9.140625" defaultRowHeight="12.75" outlineLevelRow="1" outlineLevelCol="1"/>
  <cols>
    <col min="1" max="1" width="15" style="884" customWidth="1"/>
    <col min="2" max="2" width="15.42578125" style="884" bestFit="1" customWidth="1"/>
    <col min="3" max="3" width="8.5703125" style="885" hidden="1" customWidth="1" outlineLevel="1"/>
    <col min="4" max="4" width="10.28515625" style="884" customWidth="1" collapsed="1"/>
    <col min="5" max="5" width="11" style="884" hidden="1" customWidth="1" outlineLevel="1"/>
    <col min="6" max="6" width="15.5703125" style="884" hidden="1" customWidth="1" outlineLevel="1"/>
    <col min="7" max="7" width="12.85546875" style="884" hidden="1" customWidth="1" outlineLevel="1"/>
    <col min="8" max="8" width="11.28515625" style="884" hidden="1" customWidth="1" outlineLevel="1"/>
    <col min="9" max="9" width="7.42578125" style="884" hidden="1" customWidth="1" outlineLevel="1"/>
    <col min="10" max="10" width="9.5703125" style="884" hidden="1" customWidth="1" outlineLevel="1" collapsed="1"/>
    <col min="11" max="11" width="8.140625" style="884" hidden="1" customWidth="1" outlineLevel="1"/>
    <col min="12" max="12" width="10.85546875" style="884" hidden="1" customWidth="1" outlineLevel="1"/>
    <col min="13" max="13" width="9.7109375" style="884" customWidth="1" collapsed="1"/>
    <col min="14" max="19" width="8.42578125" style="884" hidden="1" customWidth="1" outlineLevel="1"/>
    <col min="20" max="20" width="9.28515625" style="884" hidden="1" customWidth="1" outlineLevel="1"/>
    <col min="21" max="21" width="10.5703125" style="884" hidden="1" customWidth="1" outlineLevel="1"/>
    <col min="22" max="22" width="8.42578125" style="884" hidden="1" customWidth="1" outlineLevel="1"/>
    <col min="23" max="23" width="12.28515625" style="884" hidden="1" customWidth="1" outlineLevel="1"/>
    <col min="24" max="25" width="8.42578125" style="884" hidden="1" customWidth="1" outlineLevel="1"/>
    <col min="26" max="31" width="9.140625" style="884" hidden="1" customWidth="1" outlineLevel="1"/>
    <col min="32" max="32" width="11.5703125" style="884" hidden="1" customWidth="1" outlineLevel="1"/>
    <col min="33" max="33" width="9.28515625" style="884" hidden="1" customWidth="1" outlineLevel="1"/>
    <col min="34" max="34" width="9.140625" style="884" customWidth="1" collapsed="1"/>
    <col min="35" max="35" width="7.42578125" style="884" hidden="1" customWidth="1" outlineLevel="1"/>
    <col min="36" max="38" width="10.85546875" style="884" hidden="1" customWidth="1" outlineLevel="1"/>
    <col min="39" max="39" width="8.28515625" style="884" hidden="1" customWidth="1" outlineLevel="1"/>
    <col min="40" max="44" width="8.140625" style="884" hidden="1" customWidth="1" outlineLevel="1"/>
    <col min="45" max="45" width="9.85546875" style="884" hidden="1" customWidth="1" outlineLevel="1"/>
    <col min="46" max="46" width="10.42578125" style="884" hidden="1" customWidth="1" outlineLevel="1"/>
    <col min="47" max="47" width="9.140625" style="884" hidden="1" customWidth="1" outlineLevel="1"/>
    <col min="48" max="48" width="13.28515625" style="884" hidden="1" customWidth="1" outlineLevel="1"/>
    <col min="49" max="49" width="11.28515625" style="884" hidden="1" customWidth="1" outlineLevel="1"/>
    <col min="50" max="50" width="10.42578125" style="884" customWidth="1" collapsed="1"/>
    <col min="51" max="58" width="8.140625" style="884" hidden="1" customWidth="1" outlineLevel="1"/>
    <col min="59" max="59" width="7" style="884" hidden="1" customWidth="1" outlineLevel="1"/>
    <col min="60" max="60" width="8.7109375" style="884" hidden="1" customWidth="1" outlineLevel="1"/>
    <col min="61" max="61" width="15" style="884" hidden="1" customWidth="1" outlineLevel="1"/>
    <col min="62" max="62" width="7.85546875" style="884" bestFit="1" customWidth="1" collapsed="1"/>
    <col min="63" max="64" width="7.7109375" style="884" hidden="1" customWidth="1" outlineLevel="1"/>
    <col min="65" max="67" width="6.140625" style="884" hidden="1" customWidth="1" outlineLevel="1"/>
    <col min="68" max="68" width="12" style="884" hidden="1" customWidth="1" outlineLevel="1"/>
    <col min="69" max="69" width="9.140625" style="884" customWidth="1" collapsed="1"/>
    <col min="70" max="78" width="9.140625" style="884" hidden="1" customWidth="1" outlineLevel="1"/>
    <col min="79" max="79" width="8.85546875" style="884" hidden="1" customWidth="1" outlineLevel="1"/>
    <col min="80" max="82" width="9.140625" style="884" hidden="1" customWidth="1" outlineLevel="1"/>
    <col min="83" max="83" width="11.5703125" style="884" hidden="1" customWidth="1" outlineLevel="1"/>
    <col min="84" max="91" width="9.140625" style="884" hidden="1" customWidth="1" outlineLevel="1"/>
    <col min="92" max="92" width="7" style="884" hidden="1" customWidth="1" outlineLevel="1"/>
    <col min="93" max="93" width="7.140625" style="884" hidden="1" customWidth="1" outlineLevel="1"/>
    <col min="94" max="94" width="6.42578125" style="884" hidden="1" customWidth="1" outlineLevel="1"/>
    <col min="95" max="95" width="6.5703125" style="884" hidden="1" customWidth="1" outlineLevel="1"/>
    <col min="96" max="96" width="10.42578125" style="884" hidden="1" customWidth="1" outlineLevel="1"/>
    <col min="97" max="97" width="11.5703125" style="884" hidden="1" customWidth="1" outlineLevel="1"/>
    <col min="98" max="98" width="9.5703125" style="884" hidden="1" customWidth="1" outlineLevel="1"/>
    <col min="99" max="99" width="2" style="884" customWidth="1" collapsed="1"/>
    <col min="100" max="105" width="9.140625" style="884" hidden="1" customWidth="1" outlineLevel="1"/>
    <col min="106" max="106" width="10.85546875" style="884" hidden="1" customWidth="1" outlineLevel="1"/>
    <col min="107" max="107" width="11" style="884" hidden="1" customWidth="1" outlineLevel="1"/>
    <col min="108" max="108" width="11.140625" style="884" hidden="1" customWidth="1" outlineLevel="1"/>
    <col min="109" max="109" width="9.5703125" style="884" hidden="1" customWidth="1" outlineLevel="1"/>
    <col min="110" max="110" width="11.42578125" style="884" hidden="1" customWidth="1" outlineLevel="1"/>
    <col min="111" max="111" width="14.7109375" style="884" hidden="1" customWidth="1" outlineLevel="1"/>
    <col min="112" max="113" width="9.140625" style="884" hidden="1" customWidth="1" outlineLevel="1"/>
    <col min="114" max="114" width="2" style="884" customWidth="1" collapsed="1"/>
    <col min="115" max="115" width="9.140625" style="884" customWidth="1"/>
    <col min="116" max="116" width="14.7109375" style="884" hidden="1" customWidth="1" outlineLevel="1"/>
    <col min="117" max="118" width="9.140625" style="884" hidden="1" customWidth="1" outlineLevel="1"/>
    <col min="119" max="120" width="14.140625" style="884" hidden="1" customWidth="1" outlineLevel="1"/>
    <col min="121" max="121" width="9.28515625" style="884" customWidth="1" collapsed="1"/>
    <col min="122" max="124" width="9.28515625" style="884" customWidth="1"/>
    <col min="125" max="125" width="8" style="884" customWidth="1"/>
    <col min="126" max="126" width="6.7109375" style="884" customWidth="1"/>
    <col min="127" max="127" width="8" style="884" customWidth="1"/>
    <col min="128" max="128" width="6.7109375" style="884" customWidth="1"/>
    <col min="129" max="130" width="9.28515625" style="884" customWidth="1"/>
    <col min="131" max="16384" width="9.140625" style="884"/>
  </cols>
  <sheetData>
    <row r="1" spans="1:134" s="138" customFormat="1" ht="15" hidden="1" customHeight="1" outlineLevel="1">
      <c r="A1" s="827"/>
      <c r="C1" s="828"/>
      <c r="D1" s="611" t="s">
        <v>790</v>
      </c>
      <c r="E1" s="829"/>
      <c r="F1" s="830"/>
      <c r="G1" s="600">
        <v>12750</v>
      </c>
      <c r="H1" s="600" t="s">
        <v>791</v>
      </c>
      <c r="I1" s="830"/>
      <c r="AT1" s="831"/>
    </row>
    <row r="2" spans="1:134" s="835" customFormat="1" ht="15.95" hidden="1" customHeight="1" outlineLevel="1">
      <c r="A2" s="2373">
        <v>1.05</v>
      </c>
      <c r="B2" s="1780" t="s">
        <v>2196</v>
      </c>
      <c r="C2" s="833"/>
      <c r="D2" s="834"/>
      <c r="E2" s="834"/>
      <c r="L2" s="834"/>
      <c r="M2" s="834"/>
      <c r="N2" s="834"/>
      <c r="O2" s="834"/>
      <c r="P2" s="834"/>
      <c r="Q2" s="834"/>
      <c r="R2" s="834"/>
      <c r="S2" s="834"/>
      <c r="T2" s="834"/>
      <c r="U2" s="834"/>
      <c r="V2" s="834"/>
      <c r="W2" s="834"/>
      <c r="X2" s="834"/>
      <c r="Y2" s="834"/>
      <c r="AH2" s="834"/>
      <c r="AI2" s="834"/>
      <c r="AJ2" s="834"/>
      <c r="AK2" s="834"/>
      <c r="AL2" s="834"/>
      <c r="AS2" s="834"/>
      <c r="AW2" s="834"/>
      <c r="BG2" s="834"/>
      <c r="BH2" s="834"/>
      <c r="CU2" s="834"/>
      <c r="DJ2" s="834"/>
    </row>
    <row r="3" spans="1:134" s="835" customFormat="1" ht="15.95" hidden="1" customHeight="1" outlineLevel="1">
      <c r="A3" s="832"/>
      <c r="B3" s="832"/>
      <c r="C3" s="833"/>
      <c r="D3" s="836"/>
      <c r="E3" s="834"/>
      <c r="L3" s="834"/>
      <c r="AH3" s="834"/>
      <c r="AI3" s="834"/>
      <c r="AJ3" s="834"/>
      <c r="AK3" s="834"/>
      <c r="AL3" s="834"/>
      <c r="AS3" s="834"/>
      <c r="AW3" s="834"/>
      <c r="BG3" s="834"/>
      <c r="BH3" s="834"/>
      <c r="CU3" s="834"/>
      <c r="DJ3" s="834"/>
    </row>
    <row r="4" spans="1:134" s="835" customFormat="1" ht="15.95" hidden="1" customHeight="1" outlineLevel="1">
      <c r="A4" s="912"/>
      <c r="B4" s="912"/>
      <c r="C4" s="2716" t="s">
        <v>1071</v>
      </c>
      <c r="D4" s="932" t="s">
        <v>1069</v>
      </c>
      <c r="E4" s="932" t="s">
        <v>1070</v>
      </c>
      <c r="F4" s="932" t="s">
        <v>2201</v>
      </c>
      <c r="G4" s="932" t="s">
        <v>1825</v>
      </c>
      <c r="H4" s="932" t="s">
        <v>1781</v>
      </c>
      <c r="K4" s="887">
        <f>42*75</f>
        <v>3150</v>
      </c>
      <c r="L4" s="887">
        <f>58*56</f>
        <v>3248</v>
      </c>
      <c r="AH4" s="834"/>
      <c r="AI4" s="834"/>
      <c r="AJ4" s="834"/>
      <c r="AK4" s="834"/>
      <c r="AL4" s="834"/>
      <c r="AS4" s="834"/>
      <c r="AW4" s="834"/>
      <c r="BG4" s="834"/>
      <c r="BH4" s="834"/>
      <c r="CU4" s="834"/>
      <c r="DJ4" s="834"/>
    </row>
    <row r="5" spans="1:134" s="830" customFormat="1" ht="15.95" hidden="1" customHeight="1" outlineLevel="1">
      <c r="B5" s="829"/>
      <c r="C5" s="2717"/>
      <c r="D5" s="887">
        <f>D15*2.5+M15*5</f>
        <v>13550</v>
      </c>
      <c r="E5" s="887">
        <f>D16*2.5+M16*5</f>
        <v>14375</v>
      </c>
      <c r="F5" s="887">
        <f>D17*2.5+M17*5</f>
        <v>15625</v>
      </c>
      <c r="G5" s="887">
        <f>D18*2.5+M18*5</f>
        <v>16125</v>
      </c>
      <c r="H5" s="887">
        <f>D19*2.5+M19*5</f>
        <v>16750</v>
      </c>
      <c r="L5" s="829"/>
      <c r="AH5" s="829"/>
      <c r="AI5" s="829"/>
      <c r="AJ5" s="829"/>
      <c r="AK5" s="829"/>
      <c r="AL5" s="829"/>
      <c r="AS5" s="829"/>
      <c r="AW5" s="829"/>
      <c r="BG5" s="829"/>
      <c r="BH5" s="829"/>
      <c r="CU5" s="829"/>
      <c r="DJ5" s="829"/>
    </row>
    <row r="6" spans="1:134" s="838" customFormat="1" ht="15" hidden="1" outlineLevel="1">
      <c r="A6" s="1662" t="s">
        <v>1816</v>
      </c>
      <c r="B6" s="1663"/>
      <c r="C6" s="1664"/>
      <c r="E6" s="838" t="s">
        <v>1306</v>
      </c>
      <c r="J6" s="839" t="s">
        <v>1428</v>
      </c>
      <c r="L6" s="839" t="s">
        <v>1428</v>
      </c>
      <c r="AH6" s="839"/>
      <c r="AK6" s="838">
        <v>1.5</v>
      </c>
      <c r="AW6" s="1611" t="s">
        <v>1553</v>
      </c>
      <c r="BG6" s="837"/>
      <c r="BH6" s="837"/>
      <c r="CU6" s="837"/>
      <c r="DJ6" s="837"/>
    </row>
    <row r="7" spans="1:134" s="139" customFormat="1" ht="15" hidden="1" customHeight="1" outlineLevel="1">
      <c r="A7" s="2774" t="s">
        <v>760</v>
      </c>
      <c r="B7" s="2774"/>
      <c r="C7" s="840"/>
      <c r="D7" s="910" t="s">
        <v>284</v>
      </c>
      <c r="E7" s="911"/>
      <c r="F7" s="911"/>
      <c r="G7" s="911"/>
      <c r="H7" s="911"/>
      <c r="I7" s="911"/>
      <c r="J7" s="911"/>
      <c r="K7" s="911"/>
      <c r="L7" s="911"/>
      <c r="M7" s="902" t="s">
        <v>67</v>
      </c>
      <c r="N7" s="903"/>
      <c r="O7" s="903"/>
      <c r="P7" s="903"/>
      <c r="Q7" s="903"/>
      <c r="R7" s="903"/>
      <c r="S7" s="903"/>
      <c r="T7" s="903"/>
      <c r="U7" s="903"/>
      <c r="V7" s="903"/>
      <c r="W7" s="903"/>
      <c r="X7" s="903"/>
      <c r="Y7" s="903"/>
      <c r="Z7" s="903"/>
      <c r="AA7" s="842"/>
      <c r="AB7" s="842"/>
      <c r="AC7" s="903"/>
      <c r="AD7" s="903"/>
      <c r="AE7" s="903"/>
      <c r="AF7" s="903"/>
      <c r="AG7" s="903"/>
      <c r="AH7" s="2809" t="s">
        <v>758</v>
      </c>
      <c r="AI7" s="2809"/>
      <c r="AJ7" s="2810"/>
      <c r="AK7" s="2809"/>
      <c r="AL7" s="2810"/>
      <c r="AM7" s="2809"/>
      <c r="AN7" s="2809"/>
      <c r="AO7" s="2809"/>
      <c r="AP7" s="2809"/>
      <c r="AQ7" s="2809"/>
      <c r="AR7" s="2809"/>
      <c r="AS7" s="2781" t="s">
        <v>1550</v>
      </c>
      <c r="AT7" s="2791" t="s">
        <v>640</v>
      </c>
      <c r="AU7" s="2788" t="s">
        <v>507</v>
      </c>
      <c r="AV7" s="2781" t="s">
        <v>1434</v>
      </c>
      <c r="AW7" s="2814" t="s">
        <v>1552</v>
      </c>
      <c r="AX7" s="2804" t="s">
        <v>85</v>
      </c>
      <c r="AY7" s="2805"/>
      <c r="AZ7" s="2805"/>
      <c r="BA7" s="2805"/>
      <c r="BB7" s="2805"/>
      <c r="BC7" s="2805"/>
      <c r="BD7" s="2805"/>
      <c r="BE7" s="2805"/>
      <c r="BF7" s="2805"/>
      <c r="BG7" s="2805"/>
      <c r="BH7" s="2806"/>
      <c r="BJ7" s="2798" t="s">
        <v>279</v>
      </c>
      <c r="BK7" s="2798"/>
      <c r="BL7" s="2798"/>
      <c r="BM7" s="2798"/>
      <c r="BN7" s="2798"/>
      <c r="BO7" s="2798"/>
      <c r="BP7" s="2798"/>
      <c r="BQ7" s="2807" t="s">
        <v>759</v>
      </c>
      <c r="BR7" s="2808"/>
      <c r="BS7" s="2808"/>
      <c r="BT7" s="2808"/>
      <c r="BU7" s="2808"/>
      <c r="BV7" s="2808"/>
      <c r="BW7" s="2808"/>
      <c r="BX7" s="2808"/>
      <c r="BY7" s="2808"/>
      <c r="BZ7" s="2808"/>
      <c r="CA7" s="2808"/>
      <c r="CB7" s="2808"/>
      <c r="CC7" s="2808"/>
      <c r="CD7" s="2808"/>
      <c r="CE7" s="2808"/>
      <c r="CF7" s="2808"/>
      <c r="CG7" s="2808"/>
      <c r="CH7" s="2808"/>
      <c r="CI7" s="2808"/>
      <c r="CJ7" s="2808"/>
      <c r="CK7" s="2808"/>
      <c r="CL7" s="2808"/>
      <c r="CM7" s="2808"/>
      <c r="CN7" s="2808"/>
      <c r="CO7" s="2808"/>
      <c r="CP7" s="2808"/>
      <c r="CQ7" s="2808"/>
      <c r="CR7" s="2808"/>
      <c r="CS7" s="2808"/>
      <c r="CT7" s="2808"/>
      <c r="CU7" s="841"/>
      <c r="CV7" s="843"/>
      <c r="CW7" s="843"/>
      <c r="CX7" s="843"/>
      <c r="CY7" s="843"/>
      <c r="CZ7" s="843"/>
      <c r="DA7" s="843"/>
      <c r="DB7" s="844" t="s">
        <v>777</v>
      </c>
      <c r="DC7" s="843"/>
      <c r="DD7" s="843"/>
      <c r="DE7" s="843"/>
      <c r="DF7" s="843"/>
      <c r="DG7" s="843"/>
      <c r="DH7" s="843"/>
      <c r="DI7" s="845"/>
      <c r="DJ7" s="841"/>
      <c r="DK7" s="2742" t="s">
        <v>505</v>
      </c>
      <c r="DL7" s="2742"/>
      <c r="DM7" s="2742"/>
      <c r="DN7" s="2743"/>
      <c r="DO7" s="2742"/>
      <c r="DP7" s="2742"/>
    </row>
    <row r="8" spans="1:134" s="853" customFormat="1" ht="39" hidden="1" customHeight="1" outlineLevel="1">
      <c r="A8" s="2774" t="s">
        <v>526</v>
      </c>
      <c r="B8" s="2774"/>
      <c r="C8" s="846"/>
      <c r="D8" s="904" t="s">
        <v>755</v>
      </c>
      <c r="E8" s="905"/>
      <c r="F8" s="905"/>
      <c r="G8" s="905"/>
      <c r="H8" s="905"/>
      <c r="I8" s="905"/>
      <c r="J8" s="905"/>
      <c r="K8" s="906"/>
      <c r="L8" s="906"/>
      <c r="M8" s="907" t="s">
        <v>767</v>
      </c>
      <c r="N8" s="908"/>
      <c r="O8" s="908"/>
      <c r="P8" s="908"/>
      <c r="Q8" s="908"/>
      <c r="R8" s="908"/>
      <c r="S8" s="908"/>
      <c r="T8" s="908"/>
      <c r="U8" s="908"/>
      <c r="V8" s="908"/>
      <c r="W8" s="908"/>
      <c r="X8" s="908"/>
      <c r="Y8" s="909"/>
      <c r="Z8" s="848" t="s">
        <v>768</v>
      </c>
      <c r="AA8" s="849"/>
      <c r="AB8" s="849"/>
      <c r="AC8" s="849"/>
      <c r="AD8" s="849"/>
      <c r="AE8" s="850"/>
      <c r="AF8" s="851" t="s">
        <v>769</v>
      </c>
      <c r="AG8" s="852"/>
      <c r="AH8" s="2736" t="s">
        <v>1108</v>
      </c>
      <c r="AI8" s="2737"/>
      <c r="AJ8" s="2737"/>
      <c r="AK8" s="2738"/>
      <c r="AL8" s="1186"/>
      <c r="AM8" s="2734" t="s">
        <v>784</v>
      </c>
      <c r="AN8" s="2792" t="s">
        <v>785</v>
      </c>
      <c r="AO8" s="2793"/>
      <c r="AP8" s="2793"/>
      <c r="AQ8" s="2793"/>
      <c r="AR8" s="2794"/>
      <c r="AS8" s="2781"/>
      <c r="AT8" s="2791"/>
      <c r="AU8" s="2789"/>
      <c r="AV8" s="2781"/>
      <c r="AW8" s="2815"/>
      <c r="AX8" s="2782" t="s">
        <v>514</v>
      </c>
      <c r="AY8" s="2783"/>
      <c r="AZ8" s="2784"/>
      <c r="BA8" s="2782" t="s">
        <v>766</v>
      </c>
      <c r="BB8" s="2783"/>
      <c r="BC8" s="2784"/>
      <c r="BD8" s="2734" t="s">
        <v>771</v>
      </c>
      <c r="BE8" s="2734" t="s">
        <v>536</v>
      </c>
      <c r="BF8" s="2734" t="s">
        <v>770</v>
      </c>
      <c r="BG8" s="2802" t="s">
        <v>2204</v>
      </c>
      <c r="BH8" s="2803"/>
      <c r="BJ8" s="2766" t="s">
        <v>786</v>
      </c>
      <c r="BK8" s="2767"/>
      <c r="BL8" s="2768"/>
      <c r="BM8" s="2775" t="s">
        <v>787</v>
      </c>
      <c r="BN8" s="2776"/>
      <c r="BO8" s="2777"/>
      <c r="BP8" s="2729" t="s">
        <v>788</v>
      </c>
      <c r="BQ8" s="2731" t="s">
        <v>764</v>
      </c>
      <c r="BR8" s="2732"/>
      <c r="BS8" s="2732"/>
      <c r="BT8" s="2732"/>
      <c r="BU8" s="2732"/>
      <c r="BV8" s="2732"/>
      <c r="BW8" s="2732"/>
      <c r="BX8" s="2732"/>
      <c r="BY8" s="2732"/>
      <c r="BZ8" s="2732"/>
      <c r="CA8" s="2732"/>
      <c r="CB8" s="2732"/>
      <c r="CC8" s="2732"/>
      <c r="CD8" s="2732"/>
      <c r="CE8" s="2733"/>
      <c r="CF8" s="2772" t="s">
        <v>765</v>
      </c>
      <c r="CG8" s="2773"/>
      <c r="CH8" s="2773"/>
      <c r="CI8" s="2773"/>
      <c r="CJ8" s="2773"/>
      <c r="CK8" s="2773"/>
      <c r="CL8" s="2773"/>
      <c r="CM8" s="2773"/>
      <c r="CN8" s="2773"/>
      <c r="CO8" s="2773"/>
      <c r="CP8" s="2773"/>
      <c r="CQ8" s="2773"/>
      <c r="CR8" s="2773"/>
      <c r="CS8" s="2773"/>
      <c r="CT8" s="2773"/>
      <c r="CU8" s="847"/>
      <c r="CV8" s="2744" t="s">
        <v>515</v>
      </c>
      <c r="CW8" s="2744"/>
      <c r="CX8" s="2744" t="s">
        <v>516</v>
      </c>
      <c r="CY8" s="2744"/>
      <c r="CZ8" s="2744" t="s">
        <v>517</v>
      </c>
      <c r="DA8" s="2744"/>
      <c r="DB8" s="2744" t="s">
        <v>518</v>
      </c>
      <c r="DC8" s="2744"/>
      <c r="DD8" s="2744" t="s">
        <v>519</v>
      </c>
      <c r="DE8" s="2744"/>
      <c r="DF8" s="2744"/>
      <c r="DG8" s="2744" t="s">
        <v>520</v>
      </c>
      <c r="DH8" s="2744" t="s">
        <v>521</v>
      </c>
      <c r="DI8" s="2744" t="s">
        <v>1433</v>
      </c>
      <c r="DJ8" s="847"/>
      <c r="DK8" s="2741" t="s">
        <v>776</v>
      </c>
      <c r="DL8" s="2741"/>
      <c r="DM8" s="2741"/>
      <c r="DN8" s="1381"/>
      <c r="DO8" s="2741" t="s">
        <v>742</v>
      </c>
      <c r="DP8" s="2741"/>
    </row>
    <row r="9" spans="1:134" s="595" customFormat="1" ht="38.25" hidden="1" outlineLevel="1">
      <c r="A9" s="2774"/>
      <c r="B9" s="2774"/>
      <c r="C9" s="840"/>
      <c r="D9" s="854" t="s">
        <v>1305</v>
      </c>
      <c r="E9" s="1215" t="s">
        <v>1319</v>
      </c>
      <c r="F9" s="855" t="s">
        <v>17</v>
      </c>
      <c r="G9" s="855" t="s">
        <v>245</v>
      </c>
      <c r="H9" s="856" t="s">
        <v>512</v>
      </c>
      <c r="I9" s="857" t="s">
        <v>752</v>
      </c>
      <c r="J9" s="1216" t="s">
        <v>753</v>
      </c>
      <c r="K9" s="1216" t="s">
        <v>754</v>
      </c>
      <c r="L9" s="1216" t="s">
        <v>1429</v>
      </c>
      <c r="M9" s="2799" t="s">
        <v>2203</v>
      </c>
      <c r="N9" s="2800"/>
      <c r="O9" s="2800"/>
      <c r="P9" s="2800"/>
      <c r="Q9" s="2801"/>
      <c r="R9" s="1198" t="s">
        <v>1299</v>
      </c>
      <c r="S9" s="1198" t="s">
        <v>1301</v>
      </c>
      <c r="T9" s="858" t="s">
        <v>70</v>
      </c>
      <c r="U9" s="858" t="s">
        <v>71</v>
      </c>
      <c r="V9" s="858" t="s">
        <v>226</v>
      </c>
      <c r="W9" s="859" t="s">
        <v>536</v>
      </c>
      <c r="X9" s="1198" t="s">
        <v>1297</v>
      </c>
      <c r="Y9" s="858" t="s">
        <v>199</v>
      </c>
      <c r="Z9" s="860" t="s">
        <v>17</v>
      </c>
      <c r="AA9" s="860" t="s">
        <v>17</v>
      </c>
      <c r="AB9" s="860" t="s">
        <v>17</v>
      </c>
      <c r="AC9" s="860" t="s">
        <v>245</v>
      </c>
      <c r="AD9" s="590" t="s">
        <v>512</v>
      </c>
      <c r="AE9" s="590" t="s">
        <v>513</v>
      </c>
      <c r="AF9" s="861" t="s">
        <v>756</v>
      </c>
      <c r="AG9" s="861" t="s">
        <v>757</v>
      </c>
      <c r="AH9" s="2736" t="s">
        <v>1109</v>
      </c>
      <c r="AI9" s="2737"/>
      <c r="AJ9" s="2738"/>
      <c r="AK9" s="1011" t="s">
        <v>1110</v>
      </c>
      <c r="AL9" s="1234" t="s">
        <v>1309</v>
      </c>
      <c r="AM9" s="2735"/>
      <c r="AN9" s="2795"/>
      <c r="AO9" s="2796"/>
      <c r="AP9" s="2796"/>
      <c r="AQ9" s="2796"/>
      <c r="AR9" s="2797"/>
      <c r="AS9" s="2781"/>
      <c r="AT9" s="2791"/>
      <c r="AU9" s="2790"/>
      <c r="AV9" s="2781"/>
      <c r="AW9" s="2815"/>
      <c r="AX9" s="2785"/>
      <c r="AY9" s="2786"/>
      <c r="AZ9" s="2787"/>
      <c r="BA9" s="2785"/>
      <c r="BB9" s="2786"/>
      <c r="BC9" s="2787"/>
      <c r="BD9" s="2735"/>
      <c r="BE9" s="2735"/>
      <c r="BF9" s="2735"/>
      <c r="BG9" s="841" t="s">
        <v>2205</v>
      </c>
      <c r="BH9" s="841" t="s">
        <v>2206</v>
      </c>
      <c r="BI9" s="1644" t="s">
        <v>1590</v>
      </c>
      <c r="BJ9" s="2769"/>
      <c r="BK9" s="2770"/>
      <c r="BL9" s="2771"/>
      <c r="BM9" s="2778"/>
      <c r="BN9" s="2779"/>
      <c r="BO9" s="2780"/>
      <c r="BP9" s="2730"/>
      <c r="BQ9" s="2807" t="s">
        <v>270</v>
      </c>
      <c r="BR9" s="2808"/>
      <c r="BS9" s="2808"/>
      <c r="BT9" s="2811"/>
      <c r="BU9" s="2726" t="s">
        <v>271</v>
      </c>
      <c r="BV9" s="2727"/>
      <c r="BW9" s="2727"/>
      <c r="BX9" s="2728"/>
      <c r="BY9" s="2807" t="s">
        <v>268</v>
      </c>
      <c r="BZ9" s="2808"/>
      <c r="CA9" s="2811"/>
      <c r="CB9" s="2726" t="s">
        <v>269</v>
      </c>
      <c r="CC9" s="2727"/>
      <c r="CD9" s="2728"/>
      <c r="CE9" s="862" t="s">
        <v>800</v>
      </c>
      <c r="CF9" s="2763" t="s">
        <v>275</v>
      </c>
      <c r="CG9" s="2764"/>
      <c r="CH9" s="2764"/>
      <c r="CI9" s="2765"/>
      <c r="CJ9" s="2763" t="s">
        <v>276</v>
      </c>
      <c r="CK9" s="2764"/>
      <c r="CL9" s="2764"/>
      <c r="CM9" s="2765"/>
      <c r="CN9" s="2812" t="s">
        <v>646</v>
      </c>
      <c r="CO9" s="2813"/>
      <c r="CP9" s="2813"/>
      <c r="CQ9" s="2812" t="s">
        <v>647</v>
      </c>
      <c r="CR9" s="2813"/>
      <c r="CS9" s="2813"/>
      <c r="CT9" s="863" t="s">
        <v>277</v>
      </c>
      <c r="CU9" s="841"/>
      <c r="CV9" s="2744"/>
      <c r="CW9" s="2744"/>
      <c r="CX9" s="2744"/>
      <c r="CY9" s="2744"/>
      <c r="CZ9" s="2744"/>
      <c r="DA9" s="2744"/>
      <c r="DB9" s="864" t="s">
        <v>153</v>
      </c>
      <c r="DC9" s="864" t="s">
        <v>154</v>
      </c>
      <c r="DD9" s="865" t="s">
        <v>151</v>
      </c>
      <c r="DE9" s="865" t="s">
        <v>522</v>
      </c>
      <c r="DF9" s="866" t="s">
        <v>523</v>
      </c>
      <c r="DG9" s="2744"/>
      <c r="DH9" s="2744"/>
      <c r="DI9" s="2744"/>
      <c r="DJ9" s="841"/>
      <c r="DK9" s="867" t="s">
        <v>772</v>
      </c>
      <c r="DL9" s="867" t="s">
        <v>1072</v>
      </c>
      <c r="DM9" s="867" t="s">
        <v>773</v>
      </c>
      <c r="DN9" s="1382" t="s">
        <v>1421</v>
      </c>
      <c r="DO9" s="867" t="s">
        <v>734</v>
      </c>
      <c r="DP9" s="867" t="s">
        <v>735</v>
      </c>
      <c r="DR9" s="1689">
        <v>1.1200000000000001</v>
      </c>
      <c r="DS9" s="1689"/>
      <c r="DT9" s="1689"/>
      <c r="DU9" s="1689"/>
      <c r="DV9" s="1689">
        <v>1.0900000000000001</v>
      </c>
      <c r="DW9" s="1689"/>
      <c r="DX9" s="1689">
        <v>1.0900000000000001</v>
      </c>
      <c r="DY9" s="1689"/>
      <c r="DZ9" s="1689">
        <v>1.0900000000000001</v>
      </c>
      <c r="EA9" s="1689"/>
      <c r="EB9" s="1689">
        <v>1</v>
      </c>
      <c r="EC9" s="1300">
        <v>0.2</v>
      </c>
      <c r="ED9" s="595" t="s">
        <v>1395</v>
      </c>
    </row>
    <row r="10" spans="1:134" s="879" customFormat="1" ht="24" hidden="1" customHeight="1" outlineLevel="1">
      <c r="A10" s="2752" t="s">
        <v>761</v>
      </c>
      <c r="B10" s="2752"/>
      <c r="C10" s="868"/>
      <c r="D10" s="1392" t="s">
        <v>779</v>
      </c>
      <c r="E10" s="869"/>
      <c r="F10" s="1394" t="s">
        <v>780</v>
      </c>
      <c r="G10" s="1394" t="s">
        <v>781</v>
      </c>
      <c r="H10" s="1394" t="s">
        <v>782</v>
      </c>
      <c r="I10" s="870" t="s">
        <v>779</v>
      </c>
      <c r="J10" s="1395" t="s">
        <v>783</v>
      </c>
      <c r="K10" s="1395" t="s">
        <v>265</v>
      </c>
      <c r="L10" s="1404" t="s">
        <v>1431</v>
      </c>
      <c r="M10" s="1396" t="s">
        <v>720</v>
      </c>
      <c r="N10" s="1396" t="s">
        <v>721</v>
      </c>
      <c r="O10" s="1396" t="s">
        <v>722</v>
      </c>
      <c r="P10" s="1396" t="s">
        <v>723</v>
      </c>
      <c r="Q10" s="1199" t="s">
        <v>727</v>
      </c>
      <c r="R10" s="1199" t="s">
        <v>1300</v>
      </c>
      <c r="S10" s="1199" t="s">
        <v>1302</v>
      </c>
      <c r="T10" s="1199" t="s">
        <v>724</v>
      </c>
      <c r="U10" s="1199" t="s">
        <v>725</v>
      </c>
      <c r="V10" s="1199" t="s">
        <v>727</v>
      </c>
      <c r="W10" s="1199" t="s">
        <v>726</v>
      </c>
      <c r="X10" s="1401" t="s">
        <v>1298</v>
      </c>
      <c r="Y10" s="1396" t="s">
        <v>726</v>
      </c>
      <c r="Z10" s="1394" t="s">
        <v>721</v>
      </c>
      <c r="AA10" s="1399" t="s">
        <v>1307</v>
      </c>
      <c r="AB10" s="1399" t="s">
        <v>1308</v>
      </c>
      <c r="AC10" s="1394" t="s">
        <v>721</v>
      </c>
      <c r="AD10" s="1395" t="s">
        <v>725</v>
      </c>
      <c r="AE10" s="1395" t="s">
        <v>728</v>
      </c>
      <c r="AF10" s="873" t="s">
        <v>722</v>
      </c>
      <c r="AG10" s="874" t="s">
        <v>720</v>
      </c>
      <c r="AH10" s="1395" t="s">
        <v>1106</v>
      </c>
      <c r="AI10" s="1395" t="s">
        <v>1107</v>
      </c>
      <c r="AJ10" s="1395" t="s">
        <v>729</v>
      </c>
      <c r="AK10" s="1395" t="s">
        <v>729</v>
      </c>
      <c r="AL10" s="1402"/>
      <c r="AM10" s="1395" t="s">
        <v>1106</v>
      </c>
      <c r="AN10" s="875">
        <v>75</v>
      </c>
      <c r="AO10" s="875">
        <v>100</v>
      </c>
      <c r="AP10" s="875">
        <v>120</v>
      </c>
      <c r="AQ10" s="875">
        <v>150</v>
      </c>
      <c r="AR10" s="875">
        <v>200</v>
      </c>
      <c r="AS10" s="1403" t="s">
        <v>1551</v>
      </c>
      <c r="AT10" s="1400" t="s">
        <v>730</v>
      </c>
      <c r="AU10" s="876"/>
      <c r="AV10" s="1420" t="s">
        <v>731</v>
      </c>
      <c r="AW10" s="1612"/>
      <c r="AX10" s="1395">
        <v>75</v>
      </c>
      <c r="AY10" s="1395">
        <v>90</v>
      </c>
      <c r="AZ10" s="1395">
        <v>110</v>
      </c>
      <c r="BA10" s="1395">
        <v>75</v>
      </c>
      <c r="BB10" s="1395">
        <v>90</v>
      </c>
      <c r="BC10" s="1395">
        <v>110</v>
      </c>
      <c r="BD10" s="1395" t="s">
        <v>727</v>
      </c>
      <c r="BE10" s="1395" t="s">
        <v>726</v>
      </c>
      <c r="BF10" s="1395" t="s">
        <v>726</v>
      </c>
      <c r="BG10" s="1404"/>
      <c r="BH10" s="872"/>
      <c r="BI10" s="1645"/>
      <c r="BJ10" s="1408" t="s">
        <v>248</v>
      </c>
      <c r="BK10" s="1408" t="s">
        <v>246</v>
      </c>
      <c r="BL10" s="1408" t="s">
        <v>249</v>
      </c>
      <c r="BM10" s="1408" t="s">
        <v>250</v>
      </c>
      <c r="BN10" s="1408" t="s">
        <v>251</v>
      </c>
      <c r="BO10" s="1408" t="s">
        <v>252</v>
      </c>
      <c r="BP10" s="1408" t="s">
        <v>253</v>
      </c>
      <c r="BQ10" s="1412" t="s">
        <v>778</v>
      </c>
      <c r="BR10" s="1412" t="s">
        <v>289</v>
      </c>
      <c r="BS10" s="1412" t="s">
        <v>288</v>
      </c>
      <c r="BT10" s="1412" t="s">
        <v>292</v>
      </c>
      <c r="BU10" s="1412" t="s">
        <v>290</v>
      </c>
      <c r="BV10" s="1412" t="s">
        <v>289</v>
      </c>
      <c r="BW10" s="1412" t="s">
        <v>288</v>
      </c>
      <c r="BX10" s="1412" t="s">
        <v>292</v>
      </c>
      <c r="BY10" s="1412" t="s">
        <v>290</v>
      </c>
      <c r="BZ10" s="1412" t="s">
        <v>289</v>
      </c>
      <c r="CA10" s="1412" t="s">
        <v>288</v>
      </c>
      <c r="CB10" s="877" t="s">
        <v>290</v>
      </c>
      <c r="CC10" s="877" t="s">
        <v>289</v>
      </c>
      <c r="CD10" s="877" t="s">
        <v>288</v>
      </c>
      <c r="CE10" s="1413" t="s">
        <v>291</v>
      </c>
      <c r="CF10" s="1395" t="s">
        <v>298</v>
      </c>
      <c r="CG10" s="1395" t="s">
        <v>299</v>
      </c>
      <c r="CH10" s="1395" t="s">
        <v>300</v>
      </c>
      <c r="CI10" s="1395" t="s">
        <v>301</v>
      </c>
      <c r="CJ10" s="1395" t="s">
        <v>298</v>
      </c>
      <c r="CK10" s="1395" t="s">
        <v>299</v>
      </c>
      <c r="CL10" s="1395" t="s">
        <v>300</v>
      </c>
      <c r="CM10" s="1395" t="s">
        <v>302</v>
      </c>
      <c r="CN10" s="1395" t="s">
        <v>294</v>
      </c>
      <c r="CO10" s="1395" t="s">
        <v>295</v>
      </c>
      <c r="CP10" s="1395" t="s">
        <v>296</v>
      </c>
      <c r="CQ10" s="875" t="s">
        <v>294</v>
      </c>
      <c r="CR10" s="875" t="s">
        <v>295</v>
      </c>
      <c r="CS10" s="875" t="s">
        <v>296</v>
      </c>
      <c r="CT10" s="1395" t="s">
        <v>297</v>
      </c>
      <c r="CU10" s="872"/>
      <c r="CV10" s="1409" t="s">
        <v>92</v>
      </c>
      <c r="CW10" s="1409" t="s">
        <v>93</v>
      </c>
      <c r="CX10" s="878" t="s">
        <v>92</v>
      </c>
      <c r="CY10" s="878" t="s">
        <v>93</v>
      </c>
      <c r="CZ10" s="1409" t="s">
        <v>92</v>
      </c>
      <c r="DA10" s="1409" t="s">
        <v>93</v>
      </c>
      <c r="DB10" s="1409" t="s">
        <v>94</v>
      </c>
      <c r="DC10" s="1409" t="s">
        <v>95</v>
      </c>
      <c r="DD10" s="1410" t="s">
        <v>774</v>
      </c>
      <c r="DE10" s="1410" t="s">
        <v>775</v>
      </c>
      <c r="DF10" s="1410" t="s">
        <v>774</v>
      </c>
      <c r="DG10" s="1409" t="s">
        <v>97</v>
      </c>
      <c r="DH10" s="878" t="s">
        <v>98</v>
      </c>
      <c r="DI10" s="1409" t="s">
        <v>1432</v>
      </c>
      <c r="DJ10" s="872"/>
      <c r="DK10" s="876" t="s">
        <v>733</v>
      </c>
      <c r="DL10" s="876" t="s">
        <v>733</v>
      </c>
      <c r="DM10" s="1296" t="s">
        <v>732</v>
      </c>
      <c r="DN10" s="1383"/>
      <c r="DO10" s="876" t="s">
        <v>733</v>
      </c>
      <c r="DP10" s="876" t="s">
        <v>733</v>
      </c>
      <c r="DQ10" s="2751" t="s">
        <v>802</v>
      </c>
      <c r="DR10" s="2748"/>
      <c r="DS10" s="2748" t="s">
        <v>1422</v>
      </c>
      <c r="DT10" s="2748"/>
      <c r="DU10" s="2747" t="s">
        <v>803</v>
      </c>
      <c r="DV10" s="2747"/>
      <c r="DW10" s="2747" t="s">
        <v>804</v>
      </c>
      <c r="DX10" s="2747"/>
      <c r="DY10" s="2747" t="s">
        <v>806</v>
      </c>
      <c r="DZ10" s="2747"/>
      <c r="EA10" s="2692" t="s">
        <v>1394</v>
      </c>
      <c r="EB10" s="2692"/>
      <c r="EC10" s="2692"/>
    </row>
    <row r="11" spans="1:134" s="898" customFormat="1" ht="64.150000000000006" hidden="1" customHeight="1" outlineLevel="1">
      <c r="A11" s="2753" t="s">
        <v>762</v>
      </c>
      <c r="B11" s="2754"/>
      <c r="C11" s="888"/>
      <c r="D11" s="889" t="s">
        <v>736</v>
      </c>
      <c r="E11" s="890">
        <v>2</v>
      </c>
      <c r="F11" s="890">
        <v>1</v>
      </c>
      <c r="G11" s="890">
        <v>1.1000000000000001</v>
      </c>
      <c r="H11" s="890" t="s">
        <v>1296</v>
      </c>
      <c r="I11" s="891" t="s">
        <v>789</v>
      </c>
      <c r="J11" s="890">
        <v>2.04</v>
      </c>
      <c r="K11" s="890">
        <v>1.85</v>
      </c>
      <c r="L11" s="890">
        <v>1.7</v>
      </c>
      <c r="M11" s="890">
        <v>0.55000000000000004</v>
      </c>
      <c r="N11" s="890">
        <v>1.1499999999999999</v>
      </c>
      <c r="O11" s="894" t="s">
        <v>792</v>
      </c>
      <c r="P11" s="890">
        <v>1.1000000000000001</v>
      </c>
      <c r="Q11" s="1200">
        <v>1.25</v>
      </c>
      <c r="R11" s="890">
        <v>1.1000000000000001</v>
      </c>
      <c r="S11" s="890">
        <v>1.1499999999999999</v>
      </c>
      <c r="T11" s="890">
        <v>1.25</v>
      </c>
      <c r="U11" s="890">
        <v>1.1000000000000001</v>
      </c>
      <c r="V11" s="890">
        <v>1.5</v>
      </c>
      <c r="W11" s="890">
        <v>1.07</v>
      </c>
      <c r="X11" s="890">
        <v>1.25</v>
      </c>
      <c r="Y11" s="890">
        <v>1.5</v>
      </c>
      <c r="Z11" s="894">
        <v>1.05</v>
      </c>
      <c r="AA11" s="1231">
        <v>1.6</v>
      </c>
      <c r="AB11" s="1231">
        <v>2.5</v>
      </c>
      <c r="AC11" s="890">
        <v>1</v>
      </c>
      <c r="AD11" s="894" t="s">
        <v>793</v>
      </c>
      <c r="AE11" s="894" t="s">
        <v>794</v>
      </c>
      <c r="AF11" s="894" t="s">
        <v>796</v>
      </c>
      <c r="AG11" s="894" t="s">
        <v>795</v>
      </c>
      <c r="AH11" s="890">
        <v>1</v>
      </c>
      <c r="AI11" s="890">
        <v>1.55</v>
      </c>
      <c r="AJ11" s="890" t="s">
        <v>1323</v>
      </c>
      <c r="AK11" s="890">
        <v>1.7</v>
      </c>
      <c r="AL11" s="890" t="s">
        <v>1310</v>
      </c>
      <c r="AM11" s="890">
        <v>1.3</v>
      </c>
      <c r="AN11" s="894" t="s">
        <v>797</v>
      </c>
      <c r="AO11" s="895"/>
      <c r="AP11" s="895"/>
      <c r="AQ11" s="894" t="s">
        <v>798</v>
      </c>
      <c r="AR11" s="895"/>
      <c r="AS11" s="890">
        <v>7.0000000000000007E-2</v>
      </c>
      <c r="AT11" s="890">
        <v>0.6</v>
      </c>
      <c r="AU11" s="894" t="s">
        <v>799</v>
      </c>
      <c r="AV11" s="894" t="s">
        <v>1312</v>
      </c>
      <c r="AW11" s="890">
        <v>0.4</v>
      </c>
      <c r="AX11" s="890">
        <v>0.85</v>
      </c>
      <c r="AY11" s="890">
        <v>0.95</v>
      </c>
      <c r="AZ11" s="890">
        <v>0.95</v>
      </c>
      <c r="BA11" s="890">
        <v>1.05</v>
      </c>
      <c r="BB11" s="890">
        <v>1.05</v>
      </c>
      <c r="BC11" s="890">
        <v>1.05</v>
      </c>
      <c r="BD11" s="894">
        <v>0.9</v>
      </c>
      <c r="BE11" s="894">
        <v>0.9</v>
      </c>
      <c r="BF11" s="894">
        <v>1</v>
      </c>
      <c r="BG11" s="893" t="s">
        <v>2208</v>
      </c>
      <c r="BH11" s="893" t="s">
        <v>2207</v>
      </c>
      <c r="BI11" s="1646">
        <v>50</v>
      </c>
      <c r="BJ11" s="890">
        <v>0.95</v>
      </c>
      <c r="BK11" s="2398">
        <v>1.1499999999999999</v>
      </c>
      <c r="BL11" s="2398">
        <v>1.4</v>
      </c>
      <c r="BM11" s="890">
        <v>0.35</v>
      </c>
      <c r="BN11" s="890">
        <v>0.35</v>
      </c>
      <c r="BO11" s="890">
        <v>0.35</v>
      </c>
      <c r="BP11" s="890">
        <v>1.55</v>
      </c>
      <c r="BQ11" s="892">
        <v>0.7</v>
      </c>
      <c r="BR11" s="896">
        <v>1.05</v>
      </c>
      <c r="BS11" s="896">
        <v>1.05</v>
      </c>
      <c r="BT11" s="896">
        <v>1.05</v>
      </c>
      <c r="BU11" s="897">
        <v>1.05</v>
      </c>
      <c r="BV11" s="897">
        <v>1.05</v>
      </c>
      <c r="BW11" s="897">
        <v>1.05</v>
      </c>
      <c r="BX11" s="897">
        <v>1.05</v>
      </c>
      <c r="BY11" s="897">
        <v>1.1000000000000001</v>
      </c>
      <c r="BZ11" s="897">
        <v>1.1000000000000001</v>
      </c>
      <c r="CA11" s="897">
        <v>1.1000000000000001</v>
      </c>
      <c r="CB11" s="897">
        <v>1.1000000000000001</v>
      </c>
      <c r="CC11" s="897">
        <v>1.1000000000000001</v>
      </c>
      <c r="CD11" s="897">
        <v>1.1000000000000001</v>
      </c>
      <c r="CE11" s="897">
        <v>1.1499999999999999</v>
      </c>
      <c r="CF11" s="897">
        <v>1.35</v>
      </c>
      <c r="CG11" s="897">
        <v>1.35</v>
      </c>
      <c r="CH11" s="897">
        <v>1.35</v>
      </c>
      <c r="CI11" s="897">
        <v>1.35</v>
      </c>
      <c r="CJ11" s="897">
        <v>1.35</v>
      </c>
      <c r="CK11" s="897">
        <v>1.35</v>
      </c>
      <c r="CL11" s="897">
        <v>1.35</v>
      </c>
      <c r="CM11" s="897">
        <v>1.35</v>
      </c>
      <c r="CN11" s="897">
        <v>1.35</v>
      </c>
      <c r="CO11" s="897">
        <v>1.35</v>
      </c>
      <c r="CP11" s="897">
        <v>1.35</v>
      </c>
      <c r="CQ11" s="897">
        <v>1.35</v>
      </c>
      <c r="CR11" s="897">
        <v>1.35</v>
      </c>
      <c r="CS11" s="897">
        <v>1.35</v>
      </c>
      <c r="CT11" s="897">
        <v>1.35</v>
      </c>
      <c r="CU11" s="893"/>
      <c r="CV11" s="894">
        <v>1.45</v>
      </c>
      <c r="CW11" s="894">
        <v>1.1499999999999999</v>
      </c>
      <c r="CX11" s="894">
        <v>1.25</v>
      </c>
      <c r="CY11" s="894">
        <v>1.2</v>
      </c>
      <c r="CZ11" s="894">
        <v>1.3</v>
      </c>
      <c r="DA11" s="894">
        <v>1.2</v>
      </c>
      <c r="DB11" s="892">
        <v>1.25</v>
      </c>
      <c r="DC11" s="894">
        <v>1</v>
      </c>
      <c r="DD11" s="894">
        <v>2.2000000000000002</v>
      </c>
      <c r="DE11" s="894" t="s">
        <v>801</v>
      </c>
      <c r="DF11" s="894" t="s">
        <v>801</v>
      </c>
      <c r="DG11" s="894">
        <v>1</v>
      </c>
      <c r="DH11" s="894">
        <v>1.2</v>
      </c>
      <c r="DI11" s="894" t="s">
        <v>795</v>
      </c>
      <c r="DJ11" s="893"/>
      <c r="DK11" s="890">
        <v>0.8</v>
      </c>
      <c r="DL11" s="890" t="s">
        <v>820</v>
      </c>
      <c r="DM11" s="892"/>
      <c r="DN11" s="890">
        <v>0.8</v>
      </c>
      <c r="DO11" s="890">
        <f>DK11</f>
        <v>0.8</v>
      </c>
      <c r="DP11" s="890">
        <v>0.8</v>
      </c>
      <c r="DQ11" s="1642" t="s">
        <v>528</v>
      </c>
      <c r="DR11" s="900" t="s">
        <v>805</v>
      </c>
      <c r="DS11" s="1385"/>
      <c r="DT11" s="1385"/>
      <c r="DU11" s="899" t="s">
        <v>528</v>
      </c>
      <c r="DV11" s="900" t="s">
        <v>805</v>
      </c>
      <c r="DW11" s="899" t="s">
        <v>528</v>
      </c>
      <c r="DX11" s="900" t="s">
        <v>805</v>
      </c>
      <c r="DY11" s="899" t="s">
        <v>528</v>
      </c>
      <c r="DZ11" s="900" t="s">
        <v>805</v>
      </c>
      <c r="EA11" s="1297" t="s">
        <v>528</v>
      </c>
      <c r="EB11" s="1302" t="s">
        <v>805</v>
      </c>
      <c r="EC11" s="1302" t="s">
        <v>1396</v>
      </c>
    </row>
    <row r="12" spans="1:134" s="595" customFormat="1" ht="15.6" hidden="1" customHeight="1" outlineLevel="1">
      <c r="A12" s="2396" t="s">
        <v>231</v>
      </c>
      <c r="B12" s="880" t="s">
        <v>1052</v>
      </c>
      <c r="C12" s="1292">
        <v>0.64</v>
      </c>
      <c r="D12" s="913"/>
      <c r="E12" s="915"/>
      <c r="F12" s="915"/>
      <c r="G12" s="916"/>
      <c r="H12" s="917"/>
      <c r="I12" s="918"/>
      <c r="J12" s="919"/>
      <c r="K12" s="919"/>
      <c r="L12" s="919"/>
      <c r="M12" s="1229">
        <f>CEILING(M14*C12,50)</f>
        <v>750</v>
      </c>
      <c r="N12" s="921"/>
      <c r="O12" s="921"/>
      <c r="P12" s="921"/>
      <c r="Q12" s="1201"/>
      <c r="R12" s="921"/>
      <c r="S12" s="921"/>
      <c r="T12" s="921"/>
      <c r="U12" s="921"/>
      <c r="V12" s="914"/>
      <c r="W12" s="914"/>
      <c r="X12" s="921"/>
      <c r="Y12" s="914"/>
      <c r="Z12" s="915"/>
      <c r="AA12" s="1219"/>
      <c r="AB12" s="1219"/>
      <c r="AC12" s="916"/>
      <c r="AD12" s="922"/>
      <c r="AE12" s="922"/>
      <c r="AF12" s="923"/>
      <c r="AG12" s="923"/>
      <c r="AH12" s="921"/>
      <c r="AI12" s="921"/>
      <c r="AJ12" s="921"/>
      <c r="AK12" s="921"/>
      <c r="AL12" s="1218"/>
      <c r="AM12" s="922"/>
      <c r="AN12" s="923"/>
      <c r="AO12" s="923"/>
      <c r="AP12" s="923"/>
      <c r="AQ12" s="923"/>
      <c r="AR12" s="923"/>
      <c r="AS12" s="921"/>
      <c r="AT12" s="921"/>
      <c r="AU12" s="924"/>
      <c r="AV12" s="920"/>
      <c r="AW12" s="901"/>
      <c r="AX12" s="925"/>
      <c r="AY12" s="925"/>
      <c r="AZ12" s="925"/>
      <c r="BA12" s="925"/>
      <c r="BB12" s="925"/>
      <c r="BC12" s="925"/>
      <c r="BD12" s="922"/>
      <c r="BE12" s="922"/>
      <c r="BF12" s="922"/>
      <c r="BG12" s="1680">
        <f>CEILING($BG$15*C12,50)</f>
        <v>1000</v>
      </c>
      <c r="BH12" s="1308">
        <f>CEILING($BH$15*C12,50)</f>
        <v>950</v>
      </c>
      <c r="BI12" s="1647"/>
      <c r="BJ12" s="913"/>
      <c r="BK12" s="926"/>
      <c r="BL12" s="926"/>
      <c r="BM12" s="927"/>
      <c r="BN12" s="927"/>
      <c r="BO12" s="927"/>
      <c r="BP12" s="927"/>
      <c r="BQ12" s="609"/>
      <c r="BR12" s="609"/>
      <c r="BS12" s="609"/>
      <c r="BT12" s="609"/>
      <c r="BU12" s="609"/>
      <c r="BV12" s="609"/>
      <c r="BW12" s="609"/>
      <c r="BX12" s="609"/>
      <c r="BY12" s="609"/>
      <c r="BZ12" s="609"/>
      <c r="CA12" s="609"/>
      <c r="CB12" s="609"/>
      <c r="CC12" s="609"/>
      <c r="CD12" s="609"/>
      <c r="CE12" s="609"/>
      <c r="CF12" s="609"/>
      <c r="CG12" s="609"/>
      <c r="CH12" s="609"/>
      <c r="CI12" s="609"/>
      <c r="CJ12" s="609"/>
      <c r="CK12" s="609"/>
      <c r="CL12" s="609"/>
      <c r="CM12" s="609"/>
      <c r="CN12" s="609"/>
      <c r="CO12" s="609"/>
      <c r="CP12" s="609"/>
      <c r="CQ12" s="609"/>
      <c r="CR12" s="609"/>
      <c r="CS12" s="609"/>
      <c r="CT12" s="609"/>
      <c r="CU12" s="901"/>
      <c r="CV12" s="928"/>
      <c r="CW12" s="928"/>
      <c r="CX12" s="928"/>
      <c r="CY12" s="928"/>
      <c r="CZ12" s="928"/>
      <c r="DA12" s="928"/>
      <c r="DB12" s="929"/>
      <c r="DC12" s="928"/>
      <c r="DD12" s="928"/>
      <c r="DE12" s="928"/>
      <c r="DF12" s="928"/>
      <c r="DG12" s="928"/>
      <c r="DH12" s="928"/>
      <c r="DI12" s="928"/>
      <c r="DJ12" s="930"/>
      <c r="DK12" s="924"/>
      <c r="DL12" s="927"/>
      <c r="DM12" s="927"/>
      <c r="DN12" s="1384"/>
      <c r="DO12" s="927"/>
      <c r="DP12" s="927"/>
      <c r="DQ12" s="1643"/>
      <c r="DR12" s="931"/>
      <c r="DS12" s="1386"/>
      <c r="DT12" s="1386"/>
      <c r="DU12" s="887"/>
      <c r="DV12" s="931"/>
      <c r="DW12" s="887"/>
      <c r="DX12" s="931"/>
      <c r="DY12" s="887"/>
      <c r="DZ12" s="931"/>
      <c r="EA12" s="1298"/>
      <c r="EB12" s="1298"/>
      <c r="EC12" s="1298"/>
      <c r="ED12" s="595">
        <f>D12*1.05</f>
        <v>0</v>
      </c>
    </row>
    <row r="13" spans="1:134" s="595" customFormat="1" ht="15.75" hidden="1" customHeight="1" outlineLevel="1">
      <c r="A13" s="2693" t="s">
        <v>161</v>
      </c>
      <c r="B13" s="880" t="s">
        <v>256</v>
      </c>
      <c r="C13" s="1292">
        <v>0.65</v>
      </c>
      <c r="D13" s="597">
        <f>CEILING(D15*$C$13, 50)</f>
        <v>1700</v>
      </c>
      <c r="E13" s="1393">
        <f>CEILING(E15*$C$13, 50)</f>
        <v>3400</v>
      </c>
      <c r="F13" s="1393">
        <f>CEILING(F15*$C$13, 50)</f>
        <v>1700</v>
      </c>
      <c r="G13" s="599"/>
      <c r="H13" s="606"/>
      <c r="I13" s="776">
        <f t="shared" ref="I13:I19" si="0">D13</f>
        <v>1700</v>
      </c>
      <c r="J13" s="1214">
        <f>CEILING($J$15*C13, 50)</f>
        <v>3450</v>
      </c>
      <c r="K13" s="1214">
        <f>CEILING($K$15*C13, 50)</f>
        <v>3150</v>
      </c>
      <c r="L13" s="1214">
        <f>CEILING(L15*C13,50)</f>
        <v>2900</v>
      </c>
      <c r="M13" s="1229">
        <f>CEILING(M15*C13,50)</f>
        <v>950</v>
      </c>
      <c r="N13" s="1229">
        <f>CEILING(N15*C13,50)</f>
        <v>1100</v>
      </c>
      <c r="O13" s="1229">
        <f>CEILING(O15*C13,50)</f>
        <v>1100</v>
      </c>
      <c r="P13" s="1229">
        <f>CEILING(P15*C13,50)</f>
        <v>1200</v>
      </c>
      <c r="Q13" s="1397">
        <f>CEILING(Q15*C13,50)</f>
        <v>1500</v>
      </c>
      <c r="R13" s="921"/>
      <c r="S13" s="921"/>
      <c r="T13" s="601"/>
      <c r="U13" s="601"/>
      <c r="V13" s="598"/>
      <c r="W13" s="602"/>
      <c r="X13" s="921"/>
      <c r="Y13" s="598"/>
      <c r="Z13" s="1398">
        <f>CEILING(Z15*C13,50)</f>
        <v>1000</v>
      </c>
      <c r="AA13" s="1398">
        <f>CEILING(AA15*C13,50)</f>
        <v>1600</v>
      </c>
      <c r="AB13" s="1219"/>
      <c r="AC13" s="1393">
        <f>CEILING($AC$15*C13, 50)</f>
        <v>1000</v>
      </c>
      <c r="AD13" s="590"/>
      <c r="AE13" s="590"/>
      <c r="AF13" s="592"/>
      <c r="AG13" s="592">
        <v>700</v>
      </c>
      <c r="AH13" s="1229">
        <f>CEILING(AH15*C13,50)</f>
        <v>950</v>
      </c>
      <c r="AI13" s="601">
        <f>CEILING(AI15*C13,50)</f>
        <v>1450</v>
      </c>
      <c r="AJ13" s="1229">
        <f t="shared" ref="AJ13:AJ19" si="1">CEILING(AH13/10,10)</f>
        <v>100</v>
      </c>
      <c r="AK13" s="1229">
        <f>CEILING($AK$15*C13,10)</f>
        <v>170</v>
      </c>
      <c r="AL13" s="1229">
        <f>CEILING(AL15*C13,50)</f>
        <v>1450</v>
      </c>
      <c r="AM13" s="590"/>
      <c r="AN13" s="592">
        <v>700</v>
      </c>
      <c r="AO13" s="592">
        <v>950</v>
      </c>
      <c r="AP13" s="592">
        <v>1150</v>
      </c>
      <c r="AQ13" s="592">
        <v>1250</v>
      </c>
      <c r="AR13" s="592">
        <v>1600</v>
      </c>
      <c r="AS13" s="598">
        <f>AS15</f>
        <v>170</v>
      </c>
      <c r="AT13" s="1229">
        <f>CEILING(AT14*C13,10)</f>
        <v>460</v>
      </c>
      <c r="AU13" s="1229">
        <f>CEILING(AU15*C13,50)</f>
        <v>600</v>
      </c>
      <c r="AV13" s="1229">
        <f>CEILING(AV15*C13,50)</f>
        <v>1450</v>
      </c>
      <c r="AW13" s="1229">
        <f>CEILING($AW$15*C13,50)</f>
        <v>400</v>
      </c>
      <c r="AX13" s="1235">
        <f>CEILING(AX15*C13, 50)</f>
        <v>800</v>
      </c>
      <c r="AY13" s="1229">
        <f>CEILING($AY$15*C13,50)</f>
        <v>1050</v>
      </c>
      <c r="AZ13" s="1229">
        <f>CEILING($AZ$15*C13,50)</f>
        <v>1150</v>
      </c>
      <c r="BA13" s="1229">
        <f>CEILING($BA$15*C13,50)</f>
        <v>850</v>
      </c>
      <c r="BB13" s="1229">
        <f>CEILING($BB$15*C13,50)</f>
        <v>1100</v>
      </c>
      <c r="BC13" s="1229">
        <f>CEILING($BC$15*C13,50)</f>
        <v>1200</v>
      </c>
      <c r="BD13" s="590"/>
      <c r="BE13" s="590"/>
      <c r="BF13" s="590"/>
      <c r="BG13" s="1680"/>
      <c r="BH13" s="1308"/>
      <c r="BI13" s="1647">
        <f>BI15</f>
        <v>1100</v>
      </c>
      <c r="BJ13" s="605">
        <f>CEILING($BJ$15*C13,50)</f>
        <v>1600</v>
      </c>
      <c r="BK13" s="605">
        <f>CEILING($BK$15*C13,50)</f>
        <v>1850</v>
      </c>
      <c r="BL13" s="605">
        <f>CEILING($BL$15*C13,50)</f>
        <v>2600</v>
      </c>
      <c r="BM13" s="594"/>
      <c r="BN13" s="594"/>
      <c r="BO13" s="594"/>
      <c r="BP13" s="594"/>
      <c r="BQ13" s="609"/>
      <c r="BR13" s="609"/>
      <c r="BS13" s="609"/>
      <c r="BT13" s="609"/>
      <c r="BU13" s="609"/>
      <c r="BV13" s="609"/>
      <c r="BW13" s="609"/>
      <c r="BX13" s="609"/>
      <c r="BY13" s="591"/>
      <c r="BZ13" s="591"/>
      <c r="CA13" s="591"/>
      <c r="CB13" s="609"/>
      <c r="CC13" s="609"/>
      <c r="CD13" s="609"/>
      <c r="CE13" s="609"/>
      <c r="CF13" s="609"/>
      <c r="CG13" s="609"/>
      <c r="CH13" s="609"/>
      <c r="CI13" s="609"/>
      <c r="CJ13" s="609"/>
      <c r="CK13" s="609"/>
      <c r="CL13" s="609"/>
      <c r="CM13" s="609"/>
      <c r="CN13" s="609"/>
      <c r="CO13" s="609"/>
      <c r="CP13" s="609"/>
      <c r="CQ13" s="609"/>
      <c r="CR13" s="609"/>
      <c r="CS13" s="609"/>
      <c r="CT13" s="609"/>
      <c r="CU13" s="596"/>
      <c r="CV13" s="1294"/>
      <c r="CW13" s="588"/>
      <c r="CX13" s="588"/>
      <c r="CY13" s="588"/>
      <c r="CZ13" s="588"/>
      <c r="DA13" s="588"/>
      <c r="DB13" s="588"/>
      <c r="DC13" s="588"/>
      <c r="DD13" s="588"/>
      <c r="DE13" s="588"/>
      <c r="DF13" s="588"/>
      <c r="DG13" s="1294"/>
      <c r="DH13" s="1294"/>
      <c r="DI13" s="1294"/>
      <c r="DJ13" s="604"/>
      <c r="DK13" s="979">
        <f>CEILING(DR15*C13,50)</f>
        <v>8650</v>
      </c>
      <c r="DL13" s="927"/>
      <c r="DM13" s="594"/>
      <c r="DN13" s="1384"/>
      <c r="DO13" s="927"/>
      <c r="DP13" s="594"/>
      <c r="DQ13" s="1643"/>
      <c r="DR13" s="613"/>
      <c r="DS13" s="1386"/>
      <c r="DT13" s="1386"/>
      <c r="DU13" s="612"/>
      <c r="DV13" s="613"/>
      <c r="DW13" s="612"/>
      <c r="DX13" s="613"/>
      <c r="DY13" s="612"/>
      <c r="DZ13" s="613"/>
      <c r="EA13" s="1298"/>
      <c r="EB13" s="1298"/>
      <c r="EC13" s="1298"/>
      <c r="ED13" s="595">
        <f>D13*1.05</f>
        <v>1785</v>
      </c>
    </row>
    <row r="14" spans="1:134" s="595" customFormat="1" ht="15.75" hidden="1" customHeight="1" outlineLevel="1">
      <c r="A14" s="2694"/>
      <c r="B14" s="1303" t="s">
        <v>1397</v>
      </c>
      <c r="C14" s="1292">
        <v>0.77</v>
      </c>
      <c r="D14" s="597">
        <f>CEILING(D15*$C$14, 50)</f>
        <v>2000</v>
      </c>
      <c r="E14" s="1393">
        <f>CEILING(E15*$C$14, 50)</f>
        <v>4000</v>
      </c>
      <c r="F14" s="1393">
        <f>CEILING(F15*$C$14, 50)</f>
        <v>2000</v>
      </c>
      <c r="G14" s="1306"/>
      <c r="H14" s="1307"/>
      <c r="I14" s="776">
        <f t="shared" si="0"/>
        <v>2000</v>
      </c>
      <c r="J14" s="1214">
        <f>CEILING($J$15*C14, 50)</f>
        <v>4100</v>
      </c>
      <c r="K14" s="1214">
        <f>CEILING($K$15*C14, 50)</f>
        <v>3700</v>
      </c>
      <c r="L14" s="1214">
        <f>CEILING(L15*C14,50)</f>
        <v>3400</v>
      </c>
      <c r="M14" s="1229">
        <f>CEILING(M15*C14,50)</f>
        <v>1100</v>
      </c>
      <c r="N14" s="1229">
        <f>CEILING(N15*C14,50)</f>
        <v>1300</v>
      </c>
      <c r="O14" s="1229">
        <f>CEILING(O15*C14,50)</f>
        <v>1300</v>
      </c>
      <c r="P14" s="1229">
        <f>CEILING(P15*C14,50)</f>
        <v>1400</v>
      </c>
      <c r="Q14" s="1397">
        <f>CEILING(Q15*C14,50)</f>
        <v>1750</v>
      </c>
      <c r="R14" s="1320"/>
      <c r="S14" s="1320"/>
      <c r="T14" s="1309"/>
      <c r="U14" s="1309"/>
      <c r="V14" s="1304"/>
      <c r="W14" s="1304"/>
      <c r="X14" s="1320"/>
      <c r="Y14" s="1304"/>
      <c r="Z14" s="1398">
        <f>CEILING(Z15*C14,50)</f>
        <v>1200</v>
      </c>
      <c r="AA14" s="1398">
        <f>CEILING(AA15*C14,50)</f>
        <v>1850</v>
      </c>
      <c r="AB14" s="1305"/>
      <c r="AC14" s="1393">
        <f>CEILING($AC$15*C14, 50)</f>
        <v>1200</v>
      </c>
      <c r="AD14" s="1321"/>
      <c r="AE14" s="1321"/>
      <c r="AF14" s="1311"/>
      <c r="AG14" s="1311"/>
      <c r="AH14" s="1229">
        <f>CEILING(AH15*C14,50)</f>
        <v>1100</v>
      </c>
      <c r="AI14" s="601">
        <f>CEILING(AI16*C14-50,50)</f>
        <v>1800</v>
      </c>
      <c r="AJ14" s="1229">
        <f t="shared" si="1"/>
        <v>110</v>
      </c>
      <c r="AK14" s="1229">
        <f>CEILING($AK$15*C14,10)</f>
        <v>210</v>
      </c>
      <c r="AL14" s="1229">
        <f>CEILING(AL15*C14,50)</f>
        <v>1750</v>
      </c>
      <c r="AM14" s="1321"/>
      <c r="AN14" s="1311"/>
      <c r="AO14" s="1311"/>
      <c r="AP14" s="1311"/>
      <c r="AQ14" s="1311"/>
      <c r="AR14" s="1311"/>
      <c r="AS14" s="598">
        <f>AS15</f>
        <v>170</v>
      </c>
      <c r="AT14" s="1229">
        <f>CEILING(AT15*C14,50)</f>
        <v>700</v>
      </c>
      <c r="AU14" s="1229">
        <f>CEILING(AU15*C14,50)</f>
        <v>700</v>
      </c>
      <c r="AV14" s="1229">
        <f>CEILING(AV15*C14,50)</f>
        <v>1750</v>
      </c>
      <c r="AW14" s="1229">
        <f>CEILING($AW$15*C14,50)</f>
        <v>450</v>
      </c>
      <c r="AX14" s="1235">
        <f>CEILING(AX15*C14, 50)</f>
        <v>950</v>
      </c>
      <c r="AY14" s="1229">
        <f>CEILING($AY$15*C14,50)</f>
        <v>1250</v>
      </c>
      <c r="AZ14" s="1229">
        <f>CEILING($AZ$15*C14,50)</f>
        <v>1350</v>
      </c>
      <c r="BA14" s="1229">
        <f>CEILING($BA$15*C14,50)</f>
        <v>1000</v>
      </c>
      <c r="BB14" s="1229">
        <f>CEILING($BB$15*C14,50)</f>
        <v>1300</v>
      </c>
      <c r="BC14" s="1229">
        <f>CEILING($BC$15*C14,50)</f>
        <v>1400</v>
      </c>
      <c r="BD14" s="1310"/>
      <c r="BE14" s="1310"/>
      <c r="BF14" s="1310"/>
      <c r="BG14" s="1680"/>
      <c r="BH14" s="1308"/>
      <c r="BI14" s="1647">
        <f>BI15</f>
        <v>1100</v>
      </c>
      <c r="BJ14" s="605">
        <f>CEILING($BJ$15*C14,50)</f>
        <v>1900</v>
      </c>
      <c r="BK14" s="605">
        <f>CEILING($BK$15*C14,50)</f>
        <v>2200</v>
      </c>
      <c r="BL14" s="605">
        <f>CEILING($BL$15*C14,50)</f>
        <v>3100</v>
      </c>
      <c r="BM14" s="1312"/>
      <c r="BN14" s="1312"/>
      <c r="BO14" s="1312"/>
      <c r="BP14" s="1312"/>
      <c r="BQ14" s="1313"/>
      <c r="BR14" s="1313"/>
      <c r="BS14" s="1313"/>
      <c r="BT14" s="1313"/>
      <c r="BU14" s="1313"/>
      <c r="BV14" s="1313"/>
      <c r="BW14" s="1313"/>
      <c r="BX14" s="1313"/>
      <c r="BY14" s="1314"/>
      <c r="BZ14" s="1314"/>
      <c r="CA14" s="1314"/>
      <c r="CB14" s="1313"/>
      <c r="CC14" s="1313"/>
      <c r="CD14" s="1313"/>
      <c r="CE14" s="1313"/>
      <c r="CF14" s="1313"/>
      <c r="CG14" s="1313"/>
      <c r="CH14" s="1313"/>
      <c r="CI14" s="1313"/>
      <c r="CJ14" s="1313"/>
      <c r="CK14" s="1313"/>
      <c r="CL14" s="1313"/>
      <c r="CM14" s="1313"/>
      <c r="CN14" s="1313"/>
      <c r="CO14" s="1313"/>
      <c r="CP14" s="1313"/>
      <c r="CQ14" s="1313"/>
      <c r="CR14" s="1313"/>
      <c r="CS14" s="1313"/>
      <c r="CT14" s="1313"/>
      <c r="CU14" s="1308"/>
      <c r="CV14" s="1315"/>
      <c r="CW14" s="1316"/>
      <c r="CX14" s="1316"/>
      <c r="CY14" s="1316"/>
      <c r="CZ14" s="1315"/>
      <c r="DA14" s="1316"/>
      <c r="DB14" s="1316"/>
      <c r="DC14" s="1316"/>
      <c r="DD14" s="1316"/>
      <c r="DE14" s="1316"/>
      <c r="DF14" s="1316"/>
      <c r="DG14" s="1315"/>
      <c r="DH14" s="1315"/>
      <c r="DI14" s="1315"/>
      <c r="DJ14" s="1317"/>
      <c r="DK14" s="979">
        <f>CEILING(DK15*C14,50)</f>
        <v>8250</v>
      </c>
      <c r="DL14" s="1319"/>
      <c r="DM14" s="1319"/>
      <c r="DN14" s="1384"/>
      <c r="DO14" s="1319"/>
      <c r="DP14" s="1319"/>
      <c r="DQ14" s="1643"/>
      <c r="DR14" s="1299"/>
      <c r="DS14" s="1386"/>
      <c r="DT14" s="1386"/>
      <c r="DU14" s="1298"/>
      <c r="DV14" s="1299"/>
      <c r="DW14" s="1298"/>
      <c r="DX14" s="1299"/>
      <c r="DY14" s="1298"/>
      <c r="DZ14" s="1299"/>
      <c r="EA14" s="1298"/>
      <c r="EB14" s="1298"/>
      <c r="EC14" s="1298"/>
    </row>
    <row r="15" spans="1:134" s="1869" customFormat="1" ht="15.75" hidden="1" outlineLevel="1">
      <c r="A15" s="1870" t="s">
        <v>28</v>
      </c>
      <c r="B15" s="1871" t="s">
        <v>207</v>
      </c>
      <c r="C15" s="1872">
        <v>1</v>
      </c>
      <c r="D15" s="750">
        <f>CEILING(D38*$A$2, 10)</f>
        <v>2580</v>
      </c>
      <c r="E15" s="1866">
        <f>D15*2</f>
        <v>5160</v>
      </c>
      <c r="F15" s="1866">
        <f>D15</f>
        <v>2580</v>
      </c>
      <c r="G15" s="1866">
        <f>CEILING(D15*G11, 10)</f>
        <v>2840</v>
      </c>
      <c r="H15" s="1873">
        <f>D15</f>
        <v>2580</v>
      </c>
      <c r="I15" s="776">
        <f t="shared" si="0"/>
        <v>2580</v>
      </c>
      <c r="J15" s="1874">
        <f>CEILING(D15*J11, 10)</f>
        <v>5270</v>
      </c>
      <c r="K15" s="1874">
        <f>CEILING(D15*K11, 10)</f>
        <v>4780</v>
      </c>
      <c r="L15" s="1874">
        <f>CEILING(D15*L11, 10)</f>
        <v>4390</v>
      </c>
      <c r="M15" s="1874">
        <f>CEILING($D$15*M11, 10)</f>
        <v>1420</v>
      </c>
      <c r="N15" s="1874">
        <f>CEILING($M$15*N11, 10)</f>
        <v>1640</v>
      </c>
      <c r="O15" s="1874">
        <f>N15</f>
        <v>1640</v>
      </c>
      <c r="P15" s="1874">
        <f>CEILING($N$15*P11, 10)</f>
        <v>1810</v>
      </c>
      <c r="Q15" s="1874">
        <f>CEILING($P$15*Q11, 10)</f>
        <v>2270</v>
      </c>
      <c r="R15" s="1874">
        <f>CEILING($P$15*R11, 10)</f>
        <v>2000</v>
      </c>
      <c r="S15" s="1874">
        <f>CEILING($R$15*S11, 10)</f>
        <v>2300</v>
      </c>
      <c r="T15" s="1874">
        <f>CEILING($R$15*T11, 10)</f>
        <v>2500</v>
      </c>
      <c r="U15" s="1874">
        <f>CEILING($S$15*U11, 10)</f>
        <v>2530</v>
      </c>
      <c r="V15" s="1874">
        <f>CEILING($R$15*V11, 10)</f>
        <v>3000</v>
      </c>
      <c r="W15" s="1874">
        <f>CEILING($V$15*W11, 10)</f>
        <v>3210</v>
      </c>
      <c r="X15" s="1874">
        <f>CEILING($V$15*X11, 10)</f>
        <v>3750</v>
      </c>
      <c r="Y15" s="1874">
        <f>CEILING($V$15*Y11, 10)</f>
        <v>4500</v>
      </c>
      <c r="Z15" s="1232">
        <f>CEILING($M$15*Z11, 10)</f>
        <v>1500</v>
      </c>
      <c r="AA15" s="1232">
        <f>CEILING($Z$15*AA11, 10)</f>
        <v>2400</v>
      </c>
      <c r="AB15" s="1232">
        <f>CEILING($Z$15*AB11, 10)</f>
        <v>3750</v>
      </c>
      <c r="AC15" s="1232">
        <f>Z15</f>
        <v>1500</v>
      </c>
      <c r="AD15" s="1873">
        <f>U15</f>
        <v>2530</v>
      </c>
      <c r="AE15" s="1873">
        <f>Y15</f>
        <v>4500</v>
      </c>
      <c r="AF15" s="1875">
        <f>O15</f>
        <v>1640</v>
      </c>
      <c r="AG15" s="1875">
        <f>M15</f>
        <v>1420</v>
      </c>
      <c r="AH15" s="1228">
        <f>CEILING($M$15*AH11, 10)</f>
        <v>1420</v>
      </c>
      <c r="AI15" s="1228">
        <f>CEILING($AH$15*AI11, 10)</f>
        <v>2210</v>
      </c>
      <c r="AJ15" s="1228">
        <f>CEILING(AH15/10,10)</f>
        <v>150</v>
      </c>
      <c r="AK15" s="1228">
        <f>CEILING(AJ15*AK11,10)</f>
        <v>260</v>
      </c>
      <c r="AL15" s="1239">
        <f>AI15</f>
        <v>2210</v>
      </c>
      <c r="AM15" s="1873">
        <f>CEILING(AK15*AM11*1*10, 5)</f>
        <v>3380</v>
      </c>
      <c r="AN15" s="1875">
        <f>AH15</f>
        <v>1420</v>
      </c>
      <c r="AO15" s="1875">
        <f>CEILING(AN15/75*100, 10)</f>
        <v>1900</v>
      </c>
      <c r="AP15" s="1875">
        <f>CEILING(AN15/75*120, 10)</f>
        <v>2280</v>
      </c>
      <c r="AQ15" s="1875">
        <f>AI15</f>
        <v>2210</v>
      </c>
      <c r="AR15" s="1875">
        <f>CEILING(AN15/75*200*0.85, 10)</f>
        <v>3220</v>
      </c>
      <c r="AS15" s="750">
        <f>CEILING(AS38*$A$2, 10)</f>
        <v>170</v>
      </c>
      <c r="AT15" s="1228">
        <f>CEILING($M$15*AT11, 10)</f>
        <v>860</v>
      </c>
      <c r="AU15" s="1228">
        <f>AT15</f>
        <v>860</v>
      </c>
      <c r="AV15" s="1228">
        <f>AI15</f>
        <v>2210</v>
      </c>
      <c r="AW15" s="1228">
        <f>CEILING($AH$15*AW11, 10)</f>
        <v>570</v>
      </c>
      <c r="AX15" s="1228">
        <f>CEILING($M$15*AX11, 10)</f>
        <v>1210</v>
      </c>
      <c r="AY15" s="1228">
        <f>CEILING($N$15*AY11, 10)</f>
        <v>1560</v>
      </c>
      <c r="AZ15" s="1228">
        <f>CEILING($P$15*AZ11, 10)</f>
        <v>1720</v>
      </c>
      <c r="BA15" s="1228">
        <f>CEILING($AX$15*BA11, 10)</f>
        <v>1280</v>
      </c>
      <c r="BB15" s="1228">
        <f>CEILING($AY$15*BB11, 10)</f>
        <v>1640</v>
      </c>
      <c r="BC15" s="1228">
        <f>CEILING($AZ$15*BC11, 10)</f>
        <v>1810</v>
      </c>
      <c r="BD15" s="1228">
        <f>CEILING($V$15/2400*2000*BD11, 10)</f>
        <v>2250</v>
      </c>
      <c r="BE15" s="1228">
        <f>CEILING($W$15/2400*2000*BE11, 10)</f>
        <v>2410</v>
      </c>
      <c r="BF15" s="1228">
        <f>CEILING($W$15/2400*2000*BF11, 10)</f>
        <v>2680</v>
      </c>
      <c r="BG15" s="1680">
        <f>Z15</f>
        <v>1500</v>
      </c>
      <c r="BH15" s="1680">
        <f>M15</f>
        <v>1420</v>
      </c>
      <c r="BI15" s="2399">
        <f>BI38</f>
        <v>1100</v>
      </c>
      <c r="BJ15" s="1681">
        <f>CEILING(D15*BJ11, 10)</f>
        <v>2460</v>
      </c>
      <c r="BK15" s="1681">
        <f>CEILING(BJ15*BK11, 10)</f>
        <v>2830</v>
      </c>
      <c r="BL15" s="1681">
        <f>CEILING(BK15*BL11, 10)</f>
        <v>3970</v>
      </c>
      <c r="BM15" s="1681">
        <f>CEILING(BJ15*BM11, 10)</f>
        <v>870</v>
      </c>
      <c r="BN15" s="1681">
        <f>CEILING(BK15*BN11, 10)</f>
        <v>1000</v>
      </c>
      <c r="BO15" s="1681">
        <f>CEILING(BL15*BO11, 10)</f>
        <v>1390</v>
      </c>
      <c r="BP15" s="1681">
        <f>CEILING(BL15*BP11, 10)</f>
        <v>6160</v>
      </c>
      <c r="BQ15" s="603">
        <f>CEILING(M15*BQ11, 10)</f>
        <v>1000</v>
      </c>
      <c r="BR15" s="603">
        <f>CEILING(BQ15*BR11, 10)</f>
        <v>1050</v>
      </c>
      <c r="BS15" s="603">
        <f>CEILING(BR15*BS11, 10)</f>
        <v>1110</v>
      </c>
      <c r="BT15" s="603">
        <f>CEILING(BS15*BT11, 10)</f>
        <v>1170</v>
      </c>
      <c r="BU15" s="603">
        <f>CEILING(BQ15*BU11, 10)</f>
        <v>1050</v>
      </c>
      <c r="BV15" s="603">
        <f t="shared" ref="BV15:BW15" si="2">CEILING(BR15*BV11, 10)</f>
        <v>1110</v>
      </c>
      <c r="BW15" s="603">
        <f t="shared" si="2"/>
        <v>1170</v>
      </c>
      <c r="BX15" s="603">
        <f>CEILING(BT15*BX11, 10)</f>
        <v>1230</v>
      </c>
      <c r="BY15" s="603">
        <f>CEILING(BQ15*BY11, 10)</f>
        <v>1100</v>
      </c>
      <c r="BZ15" s="603">
        <f t="shared" ref="BZ15:CA15" si="3">CEILING(BR15*BZ11, 10)</f>
        <v>1160</v>
      </c>
      <c r="CA15" s="603">
        <f t="shared" si="3"/>
        <v>1230</v>
      </c>
      <c r="CB15" s="1682">
        <f>BY15</f>
        <v>1100</v>
      </c>
      <c r="CC15" s="1682">
        <f>BZ15</f>
        <v>1160</v>
      </c>
      <c r="CD15" s="1682">
        <f>CA15</f>
        <v>1230</v>
      </c>
      <c r="CE15" s="603">
        <f>CEILING(CA15*CE11, 10)</f>
        <v>1420</v>
      </c>
      <c r="CF15" s="603">
        <f>CEILING(BQ15*CF11, 10)</f>
        <v>1350</v>
      </c>
      <c r="CG15" s="603">
        <f t="shared" ref="CG15:CT15" si="4">CEILING(BR15*CG11, 10)</f>
        <v>1420</v>
      </c>
      <c r="CH15" s="603">
        <f t="shared" si="4"/>
        <v>1500</v>
      </c>
      <c r="CI15" s="603">
        <f t="shared" si="4"/>
        <v>1580</v>
      </c>
      <c r="CJ15" s="603">
        <f t="shared" si="4"/>
        <v>1420</v>
      </c>
      <c r="CK15" s="603">
        <f t="shared" si="4"/>
        <v>1500</v>
      </c>
      <c r="CL15" s="603">
        <f t="shared" si="4"/>
        <v>1580</v>
      </c>
      <c r="CM15" s="603">
        <f t="shared" si="4"/>
        <v>1670</v>
      </c>
      <c r="CN15" s="603">
        <f t="shared" si="4"/>
        <v>1490</v>
      </c>
      <c r="CO15" s="603">
        <f t="shared" si="4"/>
        <v>1570</v>
      </c>
      <c r="CP15" s="603">
        <f t="shared" si="4"/>
        <v>1670</v>
      </c>
      <c r="CQ15" s="603">
        <f t="shared" si="4"/>
        <v>1490</v>
      </c>
      <c r="CR15" s="603">
        <f t="shared" si="4"/>
        <v>1570</v>
      </c>
      <c r="CS15" s="603">
        <f t="shared" si="4"/>
        <v>1670</v>
      </c>
      <c r="CT15" s="603">
        <f t="shared" si="4"/>
        <v>1920</v>
      </c>
      <c r="CU15" s="1680"/>
      <c r="CV15" s="1688">
        <f>CEILING(U15*CV11, 10)</f>
        <v>3670</v>
      </c>
      <c r="CW15" s="1688">
        <f>CEILING(CV15*CW11, 10)</f>
        <v>4230</v>
      </c>
      <c r="CX15" s="1688">
        <f>CEILING(CV15*CX11, 10)</f>
        <v>4590</v>
      </c>
      <c r="CY15" s="1688">
        <f>CEILING(CX15*CY11, 10)</f>
        <v>5510</v>
      </c>
      <c r="CZ15" s="1688">
        <f>CEILING(CV15*CZ11, 10)</f>
        <v>4780</v>
      </c>
      <c r="DA15" s="1688">
        <f>CEILING(CZ15*DA11, 10)</f>
        <v>5740</v>
      </c>
      <c r="DB15" s="1688">
        <f>CEILING(Y15*DB11, 10)</f>
        <v>5630</v>
      </c>
      <c r="DC15" s="1688">
        <f>CEILING(DB15*DC11, 10)</f>
        <v>5630</v>
      </c>
      <c r="DD15" s="1688">
        <f>CEILING(CZ15*DD11, 10)</f>
        <v>10520</v>
      </c>
      <c r="DE15" s="1688">
        <f>DD15</f>
        <v>10520</v>
      </c>
      <c r="DF15" s="1688">
        <f>DD15</f>
        <v>10520</v>
      </c>
      <c r="DG15" s="1688">
        <f>CEILING(U15*DG11, 10)</f>
        <v>2530</v>
      </c>
      <c r="DH15" s="1688">
        <f t="shared" ref="DH15" si="5">CEILING(DG15*DH11, 10)</f>
        <v>3040</v>
      </c>
      <c r="DI15" s="1688">
        <f>M15</f>
        <v>1420</v>
      </c>
      <c r="DJ15" s="1876"/>
      <c r="DK15" s="979">
        <f>CEILING(DR15*$DK$11,50)</f>
        <v>10650</v>
      </c>
      <c r="DL15" s="1318">
        <f>CEILING(EB15*0.8,50)</f>
        <v>19400</v>
      </c>
      <c r="DM15" s="1318">
        <f>CEILING(EC15,50)</f>
        <v>4850</v>
      </c>
      <c r="DN15" s="1226"/>
      <c r="DO15" s="979">
        <f>CEILING(DV15*$DO$11,50)</f>
        <v>18300</v>
      </c>
      <c r="DP15" s="979">
        <f>CEILING(DX15*$DP$11,50)</f>
        <v>28350</v>
      </c>
      <c r="DQ15" s="1867">
        <f>'Полотна база'!H9</f>
        <v>19000</v>
      </c>
      <c r="DR15" s="1877">
        <f>(DQ15/1.6)*$DR$9</f>
        <v>13300.000000000002</v>
      </c>
      <c r="DS15" s="1878"/>
      <c r="DT15" s="1878"/>
      <c r="DU15" s="1877">
        <f>'Полотна база'!AB9</f>
        <v>33550</v>
      </c>
      <c r="DV15" s="1877">
        <f>(DU15/1.6)*DV9</f>
        <v>22855.9375</v>
      </c>
      <c r="DW15" s="1877">
        <f>'Полотна база'!AV9</f>
        <v>51950</v>
      </c>
      <c r="DX15" s="1877">
        <f>(DW15/1.6)*DX9</f>
        <v>35390.9375</v>
      </c>
      <c r="DY15" s="1877"/>
      <c r="DZ15" s="1877"/>
      <c r="EA15" s="1868">
        <f>'Полотна база'!BC9</f>
        <v>38750</v>
      </c>
      <c r="EB15" s="1868">
        <f>(EA15/1.6)*$EB$9</f>
        <v>24218.75</v>
      </c>
      <c r="EC15" s="1868">
        <f>(EA15/1.6)*$EC$9</f>
        <v>4843.75</v>
      </c>
      <c r="ED15" s="1869">
        <f>D15*1.05</f>
        <v>2709</v>
      </c>
    </row>
    <row r="16" spans="1:134" s="595" customFormat="1" ht="15.75" hidden="1" customHeight="1" outlineLevel="1">
      <c r="A16" s="2714" t="s">
        <v>763</v>
      </c>
      <c r="B16" s="880" t="s">
        <v>1292</v>
      </c>
      <c r="C16" s="1292">
        <v>1.05</v>
      </c>
      <c r="D16" s="597">
        <f>CEILING(D15*$C$16, 50)</f>
        <v>2750</v>
      </c>
      <c r="E16" s="1393">
        <f>CEILING(E15*$C$16, 50)</f>
        <v>5450</v>
      </c>
      <c r="F16" s="1393">
        <f>CEILING($F$15*C16, 50)</f>
        <v>2750</v>
      </c>
      <c r="G16" s="1393">
        <f>CEILING(C16*G15, 50)</f>
        <v>3000</v>
      </c>
      <c r="H16" s="607"/>
      <c r="I16" s="776">
        <f t="shared" si="0"/>
        <v>2750</v>
      </c>
      <c r="J16" s="1214">
        <f>CEILING($J$15*C16, 50)</f>
        <v>5550</v>
      </c>
      <c r="K16" s="1214">
        <f>CEILING($K$15*C16, 50)</f>
        <v>5050</v>
      </c>
      <c r="L16" s="1214">
        <f>CEILING(L15*C16,50)</f>
        <v>4650</v>
      </c>
      <c r="M16" s="1229">
        <f>CEILING(M15*C16,50)</f>
        <v>1500</v>
      </c>
      <c r="N16" s="1229">
        <f>CEILING($N$15*C16,50)</f>
        <v>1750</v>
      </c>
      <c r="O16" s="1229">
        <f>CEILING($O$15*C16,50)</f>
        <v>1750</v>
      </c>
      <c r="P16" s="1229">
        <f>CEILING($P$15*C16,50)</f>
        <v>1950</v>
      </c>
      <c r="Q16" s="1397">
        <f>CEILING(Q15*C16,50)</f>
        <v>2400</v>
      </c>
      <c r="R16" s="921"/>
      <c r="S16" s="921"/>
      <c r="T16" s="1229">
        <f>CEILING($T$15*C16,50)</f>
        <v>2650</v>
      </c>
      <c r="U16" s="602"/>
      <c r="V16" s="602"/>
      <c r="W16" s="602"/>
      <c r="X16" s="921"/>
      <c r="Y16" s="602"/>
      <c r="Z16" s="1398">
        <f>CEILING($Z$15*C16,50)</f>
        <v>1600</v>
      </c>
      <c r="AA16" s="1398">
        <f>CEILING($AA$15*C16,50)</f>
        <v>2550</v>
      </c>
      <c r="AB16" s="1398">
        <f>CEILING($AB$15*C16,50)</f>
        <v>3950</v>
      </c>
      <c r="AC16" s="1393">
        <f>CEILING($AC$15*C16, 50)</f>
        <v>1600</v>
      </c>
      <c r="AD16" s="590"/>
      <c r="AE16" s="590"/>
      <c r="AF16" s="592" t="e">
        <f>#REF!</f>
        <v>#REF!</v>
      </c>
      <c r="AG16" s="592">
        <f>M16</f>
        <v>1500</v>
      </c>
      <c r="AH16" s="1229">
        <f>CEILING(AH15*C16,50)</f>
        <v>1500</v>
      </c>
      <c r="AI16" s="601">
        <f>CEILING(AI15*C16,50)</f>
        <v>2350</v>
      </c>
      <c r="AJ16" s="1229">
        <f t="shared" si="1"/>
        <v>150</v>
      </c>
      <c r="AK16" s="1229">
        <f>CEILING($AK$15*C16,10)</f>
        <v>280</v>
      </c>
      <c r="AL16" s="1229">
        <f>CEILING(AL15*C16,50)</f>
        <v>2350</v>
      </c>
      <c r="AM16" s="590"/>
      <c r="AN16" s="592">
        <f>AH16</f>
        <v>1500</v>
      </c>
      <c r="AO16" s="592">
        <f>CEILING(AN16/75*100, 10)</f>
        <v>2000</v>
      </c>
      <c r="AP16" s="592">
        <f>CEILING(AN16/75*120, 10)</f>
        <v>2400</v>
      </c>
      <c r="AQ16" s="592">
        <f>AI16</f>
        <v>2350</v>
      </c>
      <c r="AR16" s="592">
        <f>CEILING(AN16/75*200*0.85, 10)</f>
        <v>3400</v>
      </c>
      <c r="AS16" s="598">
        <f>AS15</f>
        <v>170</v>
      </c>
      <c r="AT16" s="1229">
        <f>CEILING(AT15*C16,50)</f>
        <v>950</v>
      </c>
      <c r="AU16" s="1229">
        <f>CEILING(AU15*C16,50)</f>
        <v>950</v>
      </c>
      <c r="AV16" s="1229">
        <f>CEILING(AV15*C16,50)</f>
        <v>2350</v>
      </c>
      <c r="AW16" s="1229">
        <f>CEILING($AW$15*C16,50)</f>
        <v>600</v>
      </c>
      <c r="AX16" s="1229">
        <f>CEILING(AX15*C16,50)</f>
        <v>1300</v>
      </c>
      <c r="AY16" s="1229">
        <f>CEILING(AY15*C16,50)</f>
        <v>1650</v>
      </c>
      <c r="AZ16" s="1229">
        <f>CEILING($AZ$15*C16,50)</f>
        <v>1850</v>
      </c>
      <c r="BA16" s="1229">
        <f>CEILING($BA$15*C16,50)</f>
        <v>1350</v>
      </c>
      <c r="BB16" s="1229">
        <f>CEILING($BB$15*C16,50)</f>
        <v>1750</v>
      </c>
      <c r="BC16" s="1229">
        <f>CEILING($BC$15*C16,50)</f>
        <v>1950</v>
      </c>
      <c r="BD16" s="590"/>
      <c r="BE16" s="590"/>
      <c r="BF16" s="590"/>
      <c r="BG16" s="1694">
        <f>CEILING($BG$15*C16,50)</f>
        <v>1600</v>
      </c>
      <c r="BH16" s="596">
        <f>CEILING($BH$15*C16,50)</f>
        <v>1500</v>
      </c>
      <c r="BI16" s="1647">
        <f>BI15</f>
        <v>1100</v>
      </c>
      <c r="BJ16" s="1293">
        <f>CEILING($BJ$15*C16,50)</f>
        <v>2600</v>
      </c>
      <c r="BK16" s="605">
        <f>CEILING($BK$15*C16,50)</f>
        <v>3000</v>
      </c>
      <c r="BL16" s="605">
        <f>CEILING($BL$15*C16,50)</f>
        <v>4200</v>
      </c>
      <c r="BM16" s="605">
        <f>CEILING($BM$15*C16,50)</f>
        <v>950</v>
      </c>
      <c r="BN16" s="605">
        <f>CEILING(BN15*$C$16,50)</f>
        <v>1050</v>
      </c>
      <c r="BO16" s="605">
        <f>CEILING($BO$15*C16,50)</f>
        <v>1500</v>
      </c>
      <c r="BP16" s="605">
        <f>CEILING($BP$15*C16,50)</f>
        <v>6500</v>
      </c>
      <c r="BQ16" s="1411">
        <f>CEILING($BQ$15*C16,50)</f>
        <v>1050</v>
      </c>
      <c r="BR16" s="1411">
        <f>CEILING($BR$15*C16,50)</f>
        <v>1150</v>
      </c>
      <c r="BS16" s="1411">
        <f>CEILING($BS$15*C16,50)</f>
        <v>1200</v>
      </c>
      <c r="BT16" s="1411">
        <f>CEILING($BT$15*C16,50)</f>
        <v>1250</v>
      </c>
      <c r="BU16" s="1411"/>
      <c r="BV16" s="1411"/>
      <c r="BW16" s="591"/>
      <c r="BX16" s="591"/>
      <c r="BY16" s="1411">
        <f>CEILING($BY$15*$C$16,50)</f>
        <v>1200</v>
      </c>
      <c r="BZ16" s="1411">
        <f>CEILING(BZ15*$C$16,50)</f>
        <v>1250</v>
      </c>
      <c r="CA16" s="1411">
        <f>CEILING(CA15*$C$16,50)</f>
        <v>1300</v>
      </c>
      <c r="CB16" s="1411">
        <f>CEILING(CB15*$C$16,50)</f>
        <v>1200</v>
      </c>
      <c r="CC16" s="1411">
        <f>CEILING(CC15*$C$16,50)</f>
        <v>1250</v>
      </c>
      <c r="CD16" s="1411">
        <f>CEILING(CD15*$C$16,50)</f>
        <v>1300</v>
      </c>
      <c r="CE16" s="591"/>
      <c r="CF16" s="1411">
        <f>CEILING($CF$15*C16,50)</f>
        <v>1450</v>
      </c>
      <c r="CG16" s="1411">
        <f>CEILING($CG$15*C16,50)</f>
        <v>1500</v>
      </c>
      <c r="CH16" s="1411">
        <f>CEILING($CH$15*C16,50)</f>
        <v>1600</v>
      </c>
      <c r="CI16" s="1411">
        <f>CEILING($CI$15*C16,50)</f>
        <v>1700</v>
      </c>
      <c r="CJ16" s="609">
        <f>CEILING(BU16*$CF$11,50)</f>
        <v>0</v>
      </c>
      <c r="CK16" s="609">
        <f>CEILING(BV16*$CF$11,50)</f>
        <v>0</v>
      </c>
      <c r="CL16" s="609">
        <f>CEILING(BW16*$CF$11,50)</f>
        <v>0</v>
      </c>
      <c r="CM16" s="609">
        <f>CEILING(BX16*$CF$11,50)</f>
        <v>0</v>
      </c>
      <c r="CN16" s="1411">
        <f t="shared" ref="CN16:CS16" si="6">CEILING(CN15*$C$16,50)</f>
        <v>1600</v>
      </c>
      <c r="CO16" s="1411">
        <f t="shared" si="6"/>
        <v>1650</v>
      </c>
      <c r="CP16" s="1411">
        <f t="shared" si="6"/>
        <v>1800</v>
      </c>
      <c r="CQ16" s="1411">
        <f t="shared" si="6"/>
        <v>1600</v>
      </c>
      <c r="CR16" s="1411">
        <f t="shared" si="6"/>
        <v>1650</v>
      </c>
      <c r="CS16" s="1411">
        <f t="shared" si="6"/>
        <v>1800</v>
      </c>
      <c r="CT16" s="609" t="e">
        <f>#REF!</f>
        <v>#REF!</v>
      </c>
      <c r="CU16" s="596"/>
      <c r="CV16" s="1294">
        <f>CEILING($CV$15*C16,50)</f>
        <v>3900</v>
      </c>
      <c r="CW16" s="1294">
        <f>CEILING($CW$15*C16,50)</f>
        <v>4450</v>
      </c>
      <c r="CX16" s="588">
        <f>CEILING($CX$15*C16,50)</f>
        <v>4850</v>
      </c>
      <c r="CY16" s="588">
        <f>CEILING($CY$15*C16,50)</f>
        <v>5800</v>
      </c>
      <c r="CZ16" s="1294">
        <f>CEILING($CZ$15*C16,50)</f>
        <v>5050</v>
      </c>
      <c r="DA16" s="1294">
        <f>CEILING($DA$15*C16,50)</f>
        <v>6050</v>
      </c>
      <c r="DB16" s="1293">
        <f>CEILING($DB$15*C16,50)</f>
        <v>5950</v>
      </c>
      <c r="DC16" s="1294">
        <f t="shared" ref="DC16:DI16" si="7">CEILING(DC15*$C$16,50)</f>
        <v>5950</v>
      </c>
      <c r="DD16" s="1294">
        <f t="shared" si="7"/>
        <v>11050</v>
      </c>
      <c r="DE16" s="588">
        <f t="shared" si="7"/>
        <v>11050</v>
      </c>
      <c r="DF16" s="588">
        <f t="shared" si="7"/>
        <v>11050</v>
      </c>
      <c r="DG16" s="1294">
        <f t="shared" si="7"/>
        <v>2700</v>
      </c>
      <c r="DH16" s="1294">
        <f t="shared" si="7"/>
        <v>3200</v>
      </c>
      <c r="DI16" s="588">
        <f t="shared" si="7"/>
        <v>1500</v>
      </c>
      <c r="DJ16" s="604"/>
      <c r="DK16" s="979">
        <f>CEILING(DK15*C16,50)</f>
        <v>11200</v>
      </c>
      <c r="DL16" s="1319"/>
      <c r="DM16" s="593"/>
      <c r="DN16" s="1223"/>
      <c r="DO16" s="979"/>
      <c r="DP16" s="979">
        <f>CEILING(DP15*C16,50)</f>
        <v>29800</v>
      </c>
      <c r="DQ16" s="1643">
        <f>'Полотна база'!H10</f>
        <v>21070</v>
      </c>
      <c r="DR16" s="613">
        <f>(DQ16/1.6)*$DR$9</f>
        <v>14749.000000000002</v>
      </c>
      <c r="DS16" s="1386"/>
      <c r="DT16" s="1386"/>
      <c r="DU16" s="612"/>
      <c r="DV16" s="613"/>
      <c r="DW16" s="612"/>
      <c r="DX16" s="613"/>
      <c r="DY16" s="612">
        <f>'Полотна база'!AL10</f>
        <v>32510</v>
      </c>
      <c r="DZ16" s="613">
        <f>(DY16/1.6)*$DZ$9</f>
        <v>22147.4375</v>
      </c>
      <c r="EA16" s="1298"/>
      <c r="EB16" s="1299">
        <f>(EA16/1.6)*$EB$9</f>
        <v>0</v>
      </c>
      <c r="EC16" s="1299">
        <f>(EA16/1.6)*$EC$9</f>
        <v>0</v>
      </c>
      <c r="ED16" s="595">
        <f>D16*1.05</f>
        <v>2887.5</v>
      </c>
    </row>
    <row r="17" spans="1:136" s="595" customFormat="1" ht="21" hidden="1" customHeight="1" outlineLevel="1">
      <c r="A17" s="2715"/>
      <c r="B17" s="881" t="s">
        <v>1282</v>
      </c>
      <c r="C17" s="1292">
        <v>1.1299999999999999</v>
      </c>
      <c r="D17" s="597">
        <f>CEILING(D15*$C$17, 50)</f>
        <v>2950</v>
      </c>
      <c r="E17" s="1393">
        <f>CEILING(E15*$C$17, 50)</f>
        <v>5850</v>
      </c>
      <c r="F17" s="1393">
        <f>CEILING($F$15*C17, 50)</f>
        <v>2950</v>
      </c>
      <c r="G17" s="1393">
        <f>CEILING(G15*C17, 50)</f>
        <v>3250</v>
      </c>
      <c r="H17" s="606"/>
      <c r="I17" s="776">
        <f t="shared" si="0"/>
        <v>2950</v>
      </c>
      <c r="J17" s="1214">
        <f>CEILING($J$15*C17, 50)</f>
        <v>6000</v>
      </c>
      <c r="K17" s="1214">
        <f>CEILING($K$15*C17, 50)</f>
        <v>5450</v>
      </c>
      <c r="L17" s="1214">
        <f>CEILING(L15*C17,50)</f>
        <v>5000</v>
      </c>
      <c r="M17" s="1229">
        <f>CEILING(M15*C17,50)</f>
        <v>1650</v>
      </c>
      <c r="N17" s="1229">
        <f>CEILING($N$15*C17,50)</f>
        <v>1900</v>
      </c>
      <c r="O17" s="1229">
        <f>CEILING($O$15*C17,50)</f>
        <v>1900</v>
      </c>
      <c r="P17" s="1229">
        <f>CEILING($P$15*C17,50)</f>
        <v>2050</v>
      </c>
      <c r="Q17" s="1397">
        <f>CEILING(Q15*C17,50)</f>
        <v>2600</v>
      </c>
      <c r="R17" s="921"/>
      <c r="S17" s="921"/>
      <c r="T17" s="1229">
        <f>CEILING($T$15*C17,50)</f>
        <v>2850</v>
      </c>
      <c r="U17" s="598"/>
      <c r="V17" s="598"/>
      <c r="W17" s="602"/>
      <c r="X17" s="921"/>
      <c r="Y17" s="598"/>
      <c r="Z17" s="1398">
        <f>CEILING($Z$15*C17,50)</f>
        <v>1700</v>
      </c>
      <c r="AA17" s="1398">
        <f>CEILING($AA$15*C17,50)</f>
        <v>2750</v>
      </c>
      <c r="AB17" s="1398">
        <f>CEILING($AB$15*C17,50)</f>
        <v>4250</v>
      </c>
      <c r="AC17" s="1393">
        <f>CEILING($AC$15*C17, 50)</f>
        <v>1700</v>
      </c>
      <c r="AD17" s="590"/>
      <c r="AE17" s="590"/>
      <c r="AF17" s="592" t="e">
        <f>#REF!</f>
        <v>#REF!</v>
      </c>
      <c r="AG17" s="592">
        <f>M17</f>
        <v>1650</v>
      </c>
      <c r="AH17" s="1229">
        <f>CEILING(AH15*C17,50)</f>
        <v>1650</v>
      </c>
      <c r="AI17" s="601">
        <f>CEILING(AI15*C17,50)</f>
        <v>2500</v>
      </c>
      <c r="AJ17" s="1229">
        <f t="shared" si="1"/>
        <v>170</v>
      </c>
      <c r="AK17" s="1229">
        <f>CEILING($AK$15*C17,10)</f>
        <v>300</v>
      </c>
      <c r="AL17" s="1229">
        <f>CEILING(AL16*C17-100,50)</f>
        <v>2600</v>
      </c>
      <c r="AM17" s="590"/>
      <c r="AN17" s="592">
        <f>AH17</f>
        <v>1650</v>
      </c>
      <c r="AO17" s="592">
        <f>CEILING(AN17/75*100, 10)</f>
        <v>2200</v>
      </c>
      <c r="AP17" s="592">
        <f>CEILING(AN17/75*120, 10)</f>
        <v>2640</v>
      </c>
      <c r="AQ17" s="592">
        <f>AI17</f>
        <v>2500</v>
      </c>
      <c r="AR17" s="592">
        <f>CEILING(AN17/75*200*0.85, 10)</f>
        <v>3740</v>
      </c>
      <c r="AS17" s="598">
        <f>AS15</f>
        <v>170</v>
      </c>
      <c r="AT17" s="1229">
        <f>CEILING(AT15*C17,50)</f>
        <v>1000</v>
      </c>
      <c r="AU17" s="1229">
        <f>CEILING(AU15*C17,50)</f>
        <v>1000</v>
      </c>
      <c r="AV17" s="1229">
        <f>CEILING(AV15*C17,50)</f>
        <v>2500</v>
      </c>
      <c r="AW17" s="1229">
        <f>CEILING($AW$15*C17,50)</f>
        <v>650</v>
      </c>
      <c r="AX17" s="1229">
        <f>CEILING(AX15*C17,50)</f>
        <v>1400</v>
      </c>
      <c r="AY17" s="1229">
        <f>CEILING(AY15*C17,50)</f>
        <v>1800</v>
      </c>
      <c r="AZ17" s="1229">
        <f>CEILING($AZ$15*C17,50)</f>
        <v>1950</v>
      </c>
      <c r="BA17" s="1229">
        <f>CEILING($BA$15*C17,50)</f>
        <v>1450</v>
      </c>
      <c r="BB17" s="1229">
        <f>CEILING($BB$15*C17,50)</f>
        <v>1900</v>
      </c>
      <c r="BC17" s="1229">
        <f>CEILING($BC$15*C17,50)</f>
        <v>2050</v>
      </c>
      <c r="BD17" s="590"/>
      <c r="BE17" s="590"/>
      <c r="BF17" s="590"/>
      <c r="BG17" s="1694">
        <f>CEILING($BG$15*C17,50)</f>
        <v>1700</v>
      </c>
      <c r="BH17" s="596">
        <f>CEILING($BH$15*C17,50)</f>
        <v>1650</v>
      </c>
      <c r="BI17" s="1647">
        <f>BI15</f>
        <v>1100</v>
      </c>
      <c r="BJ17" s="1293">
        <f>CEILING($BJ$15*C17,50)</f>
        <v>2800</v>
      </c>
      <c r="BK17" s="605">
        <f>CEILING($BK$15*C17,50)</f>
        <v>3200</v>
      </c>
      <c r="BL17" s="605">
        <f>CEILING($BL$15*C17,50)</f>
        <v>4500</v>
      </c>
      <c r="BM17" s="605">
        <f>CEILING($BM$15*C17,50)</f>
        <v>1000</v>
      </c>
      <c r="BN17" s="605">
        <f>CEILING($BN$15*C17,50)</f>
        <v>1150</v>
      </c>
      <c r="BO17" s="605">
        <f>CEILING($BO$15*C17,50)</f>
        <v>1600</v>
      </c>
      <c r="BP17" s="605">
        <f>CEILING($BP$15*C17,50)</f>
        <v>7000</v>
      </c>
      <c r="BQ17" s="1411">
        <f>CEILING($BQ$15*C17,50)</f>
        <v>1150</v>
      </c>
      <c r="BR17" s="1411">
        <f>CEILING($BR$15*C17,50)</f>
        <v>1200</v>
      </c>
      <c r="BS17" s="1411">
        <f>CEILING($BS$15*C17,50)</f>
        <v>1300</v>
      </c>
      <c r="BT17" s="1411">
        <f>CEILING($BT$15*C17,50)</f>
        <v>1350</v>
      </c>
      <c r="BU17" s="1411">
        <f>CEILING($BU$15*$C$17,50)</f>
        <v>1200</v>
      </c>
      <c r="BV17" s="1411">
        <f>CEILING($BV$15*$C$17,50)</f>
        <v>1300</v>
      </c>
      <c r="BW17" s="1411">
        <f>CEILING($BW$15*$C$17,50)</f>
        <v>1350</v>
      </c>
      <c r="BX17" s="1411">
        <f>CEILING($BX$15*$C$17,50)</f>
        <v>1400</v>
      </c>
      <c r="BY17" s="1411">
        <f>CEILING($BY$15*$C$17,50)</f>
        <v>1250</v>
      </c>
      <c r="BZ17" s="1411">
        <f>CEILING(BZ16*$C$16,50)</f>
        <v>1350</v>
      </c>
      <c r="CA17" s="1411">
        <f>CEILING($CA$15*C17,50)</f>
        <v>1400</v>
      </c>
      <c r="CB17" s="1411">
        <f>CEILING(CB15*$C$17,50)</f>
        <v>1250</v>
      </c>
      <c r="CC17" s="1411">
        <f>CEILING(CC15*$C$17,50)</f>
        <v>1350</v>
      </c>
      <c r="CD17" s="1411">
        <f>CEILING(CD15*$C$17,50)</f>
        <v>1400</v>
      </c>
      <c r="CE17" s="591"/>
      <c r="CF17" s="1411">
        <f>CEILING($CF$15*C17,50)</f>
        <v>1550</v>
      </c>
      <c r="CG17" s="1411">
        <f>CEILING($CG$15*C17,50)</f>
        <v>1650</v>
      </c>
      <c r="CH17" s="1411">
        <f>CEILING($CH$15*C17,50)</f>
        <v>1700</v>
      </c>
      <c r="CI17" s="1411">
        <f>CEILING($CI$15*C17,50)</f>
        <v>1800</v>
      </c>
      <c r="CJ17" s="1411">
        <f>CEILING($CJ$15*C17,50)</f>
        <v>1650</v>
      </c>
      <c r="CK17" s="1411">
        <f>CEILING(CK15*$C$17,50)</f>
        <v>1700</v>
      </c>
      <c r="CL17" s="1411">
        <f t="shared" ref="CL17:CS17" si="8">CEILING(CL15*$C$17,50)</f>
        <v>1800</v>
      </c>
      <c r="CM17" s="1411">
        <f t="shared" si="8"/>
        <v>1900</v>
      </c>
      <c r="CN17" s="1411">
        <f t="shared" si="8"/>
        <v>1700</v>
      </c>
      <c r="CO17" s="1411">
        <f t="shared" si="8"/>
        <v>1800</v>
      </c>
      <c r="CP17" s="1411">
        <f t="shared" si="8"/>
        <v>1900</v>
      </c>
      <c r="CQ17" s="1411">
        <f t="shared" si="8"/>
        <v>1700</v>
      </c>
      <c r="CR17" s="1411">
        <f t="shared" si="8"/>
        <v>1800</v>
      </c>
      <c r="CS17" s="1411">
        <f t="shared" si="8"/>
        <v>1900</v>
      </c>
      <c r="CT17" s="609" t="e">
        <f>#REF!</f>
        <v>#REF!</v>
      </c>
      <c r="CU17" s="596"/>
      <c r="CV17" s="1294">
        <f>CEILING($CV$15*C17,50)</f>
        <v>4150</v>
      </c>
      <c r="CW17" s="1294">
        <f>CEILING($CW$15*C17,50)</f>
        <v>4800</v>
      </c>
      <c r="CX17" s="588">
        <f>CEILING($CX$15*C17,50)</f>
        <v>5200</v>
      </c>
      <c r="CY17" s="588">
        <f>CEILING($CY$15*C17,50)</f>
        <v>6250</v>
      </c>
      <c r="CZ17" s="1294">
        <f>CEILING($CZ$15*C17,50)</f>
        <v>5450</v>
      </c>
      <c r="DA17" s="1294">
        <f>CEILING($DA$15*C17,50)</f>
        <v>6500</v>
      </c>
      <c r="DB17" s="1293">
        <f>CEILING($DB$15*C17,50)</f>
        <v>6400</v>
      </c>
      <c r="DC17" s="1294">
        <f t="shared" ref="DC17:DH17" si="9">CEILING(DC15*$C$17,50)</f>
        <v>6400</v>
      </c>
      <c r="DD17" s="1294">
        <f t="shared" si="9"/>
        <v>11900</v>
      </c>
      <c r="DE17" s="588">
        <f t="shared" si="9"/>
        <v>11900</v>
      </c>
      <c r="DF17" s="588">
        <f t="shared" si="9"/>
        <v>11900</v>
      </c>
      <c r="DG17" s="1294">
        <f t="shared" si="9"/>
        <v>2900</v>
      </c>
      <c r="DH17" s="1294">
        <f t="shared" si="9"/>
        <v>3450</v>
      </c>
      <c r="DI17" s="588">
        <f>CEILING(DI15*$C$17,10)</f>
        <v>1610</v>
      </c>
      <c r="DJ17" s="604"/>
      <c r="DK17" s="979">
        <f>CEILING(DK15*C17,50)</f>
        <v>12050</v>
      </c>
      <c r="DL17" s="594">
        <f>CEILING(DL15*C17,50)</f>
        <v>21950</v>
      </c>
      <c r="DM17" s="979">
        <f>CEILING(EC17,50)</f>
        <v>5650</v>
      </c>
      <c r="DN17" s="1226"/>
      <c r="DO17" s="594">
        <f>CEILING(DO15*C17,50)</f>
        <v>20700</v>
      </c>
      <c r="DP17" s="979">
        <f>CEILING(DP15*C17,50)</f>
        <v>32050</v>
      </c>
      <c r="DQ17" s="1643">
        <f>'Полотна база'!H11</f>
        <v>22650</v>
      </c>
      <c r="DR17" s="613">
        <f>(DQ17/1.6)*$DR$9</f>
        <v>15855.000000000002</v>
      </c>
      <c r="DS17" s="1386"/>
      <c r="DT17" s="1386"/>
      <c r="DU17" s="612"/>
      <c r="DV17" s="613"/>
      <c r="DW17" s="612"/>
      <c r="DX17" s="613"/>
      <c r="DY17" s="612">
        <f>'Полотна база'!AL11</f>
        <v>34950</v>
      </c>
      <c r="DZ17" s="613">
        <f>(DY17/1.6)*$DZ$9</f>
        <v>23809.6875</v>
      </c>
      <c r="EA17" s="1298">
        <f>'Полотна база'!BC11</f>
        <v>45200</v>
      </c>
      <c r="EB17" s="1299">
        <f>(EA17/1.6)*$EB$9</f>
        <v>28250</v>
      </c>
      <c r="EC17" s="1299">
        <f>(EA17/1.6)*$EC$9</f>
        <v>5650</v>
      </c>
      <c r="ED17" s="595">
        <f>D17*1.05</f>
        <v>3097.5</v>
      </c>
    </row>
    <row r="18" spans="1:136" s="1865" customFormat="1" ht="21" hidden="1" customHeight="1" outlineLevel="1">
      <c r="A18" s="2715"/>
      <c r="B18" s="1848" t="s">
        <v>2202</v>
      </c>
      <c r="C18" s="1849">
        <v>1.18</v>
      </c>
      <c r="D18" s="597">
        <f>CEILING(D15*$C$18, 50)</f>
        <v>3050</v>
      </c>
      <c r="E18" s="599">
        <f>CEILING(E15*$C$18, 50)</f>
        <v>6100</v>
      </c>
      <c r="F18" s="599">
        <f>CEILING(F15*C18, 50)</f>
        <v>3050</v>
      </c>
      <c r="G18" s="599">
        <f>CEILING(G15*C18, 50)</f>
        <v>3400</v>
      </c>
      <c r="H18" s="1307"/>
      <c r="I18" s="776">
        <f t="shared" si="0"/>
        <v>3050</v>
      </c>
      <c r="J18" s="1879">
        <f>CEILING($J$15*C18, 50)</f>
        <v>6250</v>
      </c>
      <c r="K18" s="1879">
        <f>CEILING($K$15*C18, 50)</f>
        <v>5650</v>
      </c>
      <c r="L18" s="1879">
        <f>CEILING(L15*C18,50)</f>
        <v>5200</v>
      </c>
      <c r="M18" s="1229">
        <f>CEILING(M15*C18,50)</f>
        <v>1700</v>
      </c>
      <c r="N18" s="1229">
        <f>CEILING(N15*C18,50)</f>
        <v>1950</v>
      </c>
      <c r="O18" s="1229">
        <f>CEILING($O$15*C18,50)</f>
        <v>1950</v>
      </c>
      <c r="P18" s="1229">
        <f>CEILING($P$15*C18,50)</f>
        <v>2150</v>
      </c>
      <c r="Q18" s="1397">
        <f>CEILING(Q15*C18,50)</f>
        <v>2700</v>
      </c>
      <c r="R18" s="1850"/>
      <c r="S18" s="1850"/>
      <c r="T18" s="1850"/>
      <c r="U18" s="1850"/>
      <c r="V18" s="1850"/>
      <c r="W18" s="1850"/>
      <c r="X18" s="1850"/>
      <c r="Y18" s="1850"/>
      <c r="Z18" s="1398">
        <f>CEILING($Z$15*C18,50)</f>
        <v>1800</v>
      </c>
      <c r="AA18" s="1398">
        <f>CEILING($AA$15*C18,50)</f>
        <v>2850</v>
      </c>
      <c r="AB18" s="1398">
        <f>CEILING($AB$15*C18,50)</f>
        <v>4450</v>
      </c>
      <c r="AC18" s="1393">
        <f>CEILING($AC$15*C18, 50)</f>
        <v>1800</v>
      </c>
      <c r="AD18" s="1851"/>
      <c r="AE18" s="1851"/>
      <c r="AF18" s="592" t="e">
        <f>#REF!</f>
        <v>#REF!</v>
      </c>
      <c r="AG18" s="1852"/>
      <c r="AH18" s="1229">
        <f>CEILING(AH15*C18,50)</f>
        <v>1700</v>
      </c>
      <c r="AI18" s="601">
        <f>CEILING(AI15*C18,50)</f>
        <v>2650</v>
      </c>
      <c r="AJ18" s="1229">
        <f t="shared" si="1"/>
        <v>170</v>
      </c>
      <c r="AK18" s="1229">
        <f>CEILING($AK$15*C18,10)</f>
        <v>310</v>
      </c>
      <c r="AL18" s="1229">
        <f>CEILING(AL17*C18-100,50)</f>
        <v>3000</v>
      </c>
      <c r="AM18" s="1851"/>
      <c r="AN18" s="1852"/>
      <c r="AO18" s="1852"/>
      <c r="AP18" s="1852"/>
      <c r="AQ18" s="1852"/>
      <c r="AR18" s="1852"/>
      <c r="AS18" s="598">
        <f>AS16</f>
        <v>170</v>
      </c>
      <c r="AT18" s="1229">
        <f>CEILING(AT15*C18,10)</f>
        <v>1020</v>
      </c>
      <c r="AU18" s="1229">
        <f>CEILING(AU15*C18,50)</f>
        <v>1050</v>
      </c>
      <c r="AV18" s="1229">
        <f>CEILING(AV15*C18,50)</f>
        <v>2650</v>
      </c>
      <c r="AW18" s="1850">
        <f>CEILING($AW$15*C18,50)</f>
        <v>700</v>
      </c>
      <c r="AX18" s="1229">
        <f>CEILING(AX15*C18,50)</f>
        <v>1450</v>
      </c>
      <c r="AY18" s="1229">
        <f>CEILING(AY15*C18,50)</f>
        <v>1850</v>
      </c>
      <c r="AZ18" s="1229">
        <f>CEILING(AZ15*C18,50)</f>
        <v>2050</v>
      </c>
      <c r="BA18" s="1850">
        <f>CEILING($BA$15*C18,50)</f>
        <v>1550</v>
      </c>
      <c r="BB18" s="1850">
        <f>CEILING($BB$15*C18,50)</f>
        <v>1950</v>
      </c>
      <c r="BC18" s="1850">
        <f>CEILING($BC$15*C18,50)</f>
        <v>2150</v>
      </c>
      <c r="BD18" s="1854"/>
      <c r="BE18" s="1854"/>
      <c r="BF18" s="1854"/>
      <c r="BG18" s="1694">
        <f>CEILING($BG$15*C18,50)</f>
        <v>1800</v>
      </c>
      <c r="BH18" s="596">
        <f>CEILING($BH$15*C18,50)</f>
        <v>1700</v>
      </c>
      <c r="BI18" s="1862"/>
      <c r="BJ18" s="1855">
        <f>CEILING($BJ$15*C18,50)</f>
        <v>2950</v>
      </c>
      <c r="BK18" s="1856">
        <f>CEILING($BK$15*C18,50)</f>
        <v>3350</v>
      </c>
      <c r="BL18" s="1856">
        <f>CEILING($BL$15*C18,50)</f>
        <v>4700</v>
      </c>
      <c r="BM18" s="605">
        <f>CEILING($BM$15*C18,50)</f>
        <v>1050</v>
      </c>
      <c r="BN18" s="605">
        <f>CEILING($BN$15*C18,50)</f>
        <v>1200</v>
      </c>
      <c r="BO18" s="605">
        <f>CEILING($BO$15*C18,50)</f>
        <v>1650</v>
      </c>
      <c r="BP18" s="605">
        <f>CEILING($BP$15*C18,50)</f>
        <v>7300</v>
      </c>
      <c r="BQ18" s="1857"/>
      <c r="BR18" s="1857"/>
      <c r="BS18" s="1857"/>
      <c r="BT18" s="1857"/>
      <c r="BU18" s="1857"/>
      <c r="BV18" s="1857"/>
      <c r="BW18" s="1857"/>
      <c r="BX18" s="1857"/>
      <c r="BY18" s="1857"/>
      <c r="BZ18" s="1857"/>
      <c r="CA18" s="1857"/>
      <c r="CB18" s="1857"/>
      <c r="CC18" s="1857"/>
      <c r="CD18" s="1857"/>
      <c r="CE18" s="1857"/>
      <c r="CF18" s="1857"/>
      <c r="CG18" s="1857"/>
      <c r="CH18" s="1857"/>
      <c r="CI18" s="1857"/>
      <c r="CJ18" s="1857"/>
      <c r="CK18" s="1857"/>
      <c r="CL18" s="1857"/>
      <c r="CM18" s="1857"/>
      <c r="CN18" s="1857"/>
      <c r="CO18" s="1857"/>
      <c r="CP18" s="1857"/>
      <c r="CQ18" s="1857"/>
      <c r="CR18" s="1857"/>
      <c r="CS18" s="1857"/>
      <c r="CT18" s="1858"/>
      <c r="CU18" s="1853"/>
      <c r="CV18" s="1859"/>
      <c r="CW18" s="1859"/>
      <c r="CX18" s="1859"/>
      <c r="CY18" s="1859"/>
      <c r="CZ18" s="1859"/>
      <c r="DA18" s="1859"/>
      <c r="DB18" s="1855"/>
      <c r="DC18" s="1859"/>
      <c r="DD18" s="1859"/>
      <c r="DE18" s="1859"/>
      <c r="DF18" s="1859"/>
      <c r="DG18" s="1859"/>
      <c r="DH18" s="1859"/>
      <c r="DI18" s="1859"/>
      <c r="DJ18" s="1860"/>
      <c r="DK18" s="979">
        <f>CEILING(DK15*C18,50)</f>
        <v>12600</v>
      </c>
      <c r="DL18" s="1861"/>
      <c r="DM18" s="1861"/>
      <c r="DN18" s="1861"/>
      <c r="DO18" s="1861"/>
      <c r="DP18" s="1861"/>
      <c r="DQ18" s="1863"/>
      <c r="DR18" s="1864"/>
      <c r="DS18" s="1864"/>
      <c r="DT18" s="1864"/>
      <c r="DU18" s="1864"/>
      <c r="DV18" s="1864"/>
      <c r="DW18" s="1864"/>
      <c r="DX18" s="1864"/>
      <c r="DY18" s="1864"/>
      <c r="DZ18" s="1864"/>
      <c r="EA18" s="1864"/>
      <c r="EB18" s="1864"/>
      <c r="EC18" s="1864"/>
    </row>
    <row r="19" spans="1:136" s="595" customFormat="1" ht="15.6" hidden="1" customHeight="1" outlineLevel="1">
      <c r="A19" s="2694"/>
      <c r="B19" s="1217" t="s">
        <v>1322</v>
      </c>
      <c r="C19" s="1292">
        <v>1.23</v>
      </c>
      <c r="D19" s="597">
        <f>CEILING(D15*$C$19, 50)</f>
        <v>3200</v>
      </c>
      <c r="E19" s="1393">
        <f>CEILING(E15*$C$19, 50)</f>
        <v>6350</v>
      </c>
      <c r="F19" s="1393">
        <f>CEILING($F$15*C19, 50)</f>
        <v>3200</v>
      </c>
      <c r="G19" s="1393">
        <f>CEILING(C19*G15, 50)</f>
        <v>3500</v>
      </c>
      <c r="H19" s="1220"/>
      <c r="I19" s="776">
        <f t="shared" si="0"/>
        <v>3200</v>
      </c>
      <c r="J19" s="1214">
        <f>CEILING($J$15*C19, 50)</f>
        <v>6500</v>
      </c>
      <c r="K19" s="1214">
        <f>CEILING($K$15*C19, 50)</f>
        <v>5900</v>
      </c>
      <c r="L19" s="1214">
        <f>CEILING(L15*C19,50)</f>
        <v>5400</v>
      </c>
      <c r="M19" s="1229">
        <f>CEILING(M15*C19,50)</f>
        <v>1750</v>
      </c>
      <c r="N19" s="1229">
        <f>CEILING($N$15*C19,50)</f>
        <v>2050</v>
      </c>
      <c r="O19" s="1229">
        <f>CEILING($O$15*C19,50)</f>
        <v>2050</v>
      </c>
      <c r="P19" s="1229">
        <f>CEILING($P$15*C19,50)</f>
        <v>2250</v>
      </c>
      <c r="Q19" s="1397">
        <f>CEILING(Q15*C19,50)</f>
        <v>2800</v>
      </c>
      <c r="R19" s="1218"/>
      <c r="S19" s="1218"/>
      <c r="T19" s="1229">
        <f>CEILING($T$15*C19,50)</f>
        <v>3100</v>
      </c>
      <c r="U19" s="1218"/>
      <c r="V19" s="1218"/>
      <c r="W19" s="1218"/>
      <c r="X19" s="1218"/>
      <c r="Y19" s="1218"/>
      <c r="Z19" s="1398">
        <f>CEILING($Z$15*C19,50)</f>
        <v>1850</v>
      </c>
      <c r="AA19" s="1398">
        <f>CEILING($AA$15*C19,50)</f>
        <v>3000</v>
      </c>
      <c r="AB19" s="1398">
        <f>CEILING($AB$15*C19,50)</f>
        <v>4650</v>
      </c>
      <c r="AC19" s="1398">
        <f>CEILING(AC15*$C$19,50)</f>
        <v>1850</v>
      </c>
      <c r="AD19" s="1220"/>
      <c r="AE19" s="1220"/>
      <c r="AF19" s="592" t="e">
        <f>#REF!</f>
        <v>#REF!</v>
      </c>
      <c r="AG19" s="1222"/>
      <c r="AH19" s="1229">
        <f>CEILING(AH15*C19,50)</f>
        <v>1750</v>
      </c>
      <c r="AI19" s="601">
        <f>CEILING(AI15*C19,50)</f>
        <v>2750</v>
      </c>
      <c r="AJ19" s="1229">
        <f t="shared" si="1"/>
        <v>180</v>
      </c>
      <c r="AK19" s="1229">
        <f>CEILING($AK$15*C19,10)</f>
        <v>320</v>
      </c>
      <c r="AL19" s="1229">
        <f>CEILING(AL17*C19-400,50)</f>
        <v>2800</v>
      </c>
      <c r="AM19" s="1220"/>
      <c r="AN19" s="1222"/>
      <c r="AO19" s="1222"/>
      <c r="AP19" s="1222"/>
      <c r="AQ19" s="1222"/>
      <c r="AR19" s="1222"/>
      <c r="AS19" s="598">
        <f>AS15</f>
        <v>170</v>
      </c>
      <c r="AT19" s="1229">
        <f>CEILING(AT15*C19,50)</f>
        <v>1100</v>
      </c>
      <c r="AU19" s="1229">
        <f>CEILING(AU15*C19,50)</f>
        <v>1100</v>
      </c>
      <c r="AV19" s="1229">
        <f>CEILING(AV15*C19,50)</f>
        <v>2750</v>
      </c>
      <c r="AW19" s="1229">
        <f>CEILING($AW$15*C19,50)</f>
        <v>750</v>
      </c>
      <c r="AX19" s="1229">
        <f>CEILING(AX15*C19,50)</f>
        <v>1500</v>
      </c>
      <c r="AY19" s="1229">
        <f>CEILING(AY15*C19,50)</f>
        <v>1950</v>
      </c>
      <c r="AZ19" s="1229">
        <f>CEILING($AZ$15*C19,50)</f>
        <v>2150</v>
      </c>
      <c r="BA19" s="1229">
        <f>CEILING($BA$15*C19,50)</f>
        <v>1600</v>
      </c>
      <c r="BB19" s="1229">
        <f>CEILING($BB$15*C19,50)</f>
        <v>2050</v>
      </c>
      <c r="BC19" s="1229">
        <f>CEILING($BC$15*C19,50)</f>
        <v>2250</v>
      </c>
      <c r="BD19" s="1224"/>
      <c r="BE19" s="1224"/>
      <c r="BF19" s="1224"/>
      <c r="BG19" s="1694">
        <f>CEILING($BG$15*C19,50)</f>
        <v>1850</v>
      </c>
      <c r="BH19" s="596">
        <f>CEILING($BH$15*C19,50)</f>
        <v>1750</v>
      </c>
      <c r="BI19" s="1647"/>
      <c r="BJ19" s="1293">
        <f>CEILING($BJ$15*C19,50)</f>
        <v>3050</v>
      </c>
      <c r="BK19" s="605">
        <f>CEILING($BK$15*C19,50)</f>
        <v>3500</v>
      </c>
      <c r="BL19" s="605">
        <f>CEILING($BL$15*C19,50)</f>
        <v>4900</v>
      </c>
      <c r="BM19" s="605">
        <f>CEILING($BM$15*C19,50)</f>
        <v>1100</v>
      </c>
      <c r="BN19" s="605">
        <f>CEILING($BN$15*C19,50)</f>
        <v>1250</v>
      </c>
      <c r="BO19" s="605">
        <f>CEILING($BO$15*C19,50)</f>
        <v>1750</v>
      </c>
      <c r="BP19" s="605">
        <f>CEILING($BP$15*C19,50)</f>
        <v>7600</v>
      </c>
      <c r="BQ19" s="1411">
        <f>CEILING($BQ$15*C19,50)</f>
        <v>1250</v>
      </c>
      <c r="BR19" s="1411">
        <f>CEILING($BR$15*C19,50)</f>
        <v>1300</v>
      </c>
      <c r="BS19" s="1411">
        <f>CEILING($BS$15*C19,50)</f>
        <v>1400</v>
      </c>
      <c r="BT19" s="1411">
        <f>CEILING($BT$15*C19,50)</f>
        <v>1450</v>
      </c>
      <c r="BU19" s="1411">
        <f>CEILING($BU$15*$C$19,50)</f>
        <v>1300</v>
      </c>
      <c r="BV19" s="1411">
        <f>CEILING($BV$15*$C$19,50)</f>
        <v>1400</v>
      </c>
      <c r="BW19" s="1411">
        <f>CEILING($BW$15*$C$19,50)</f>
        <v>1450</v>
      </c>
      <c r="BX19" s="1411">
        <f>CEILING($BX$15*$C$19,50)</f>
        <v>1550</v>
      </c>
      <c r="BY19" s="1411">
        <f>CEILING($BY$15*$C$19,50)</f>
        <v>1400</v>
      </c>
      <c r="BZ19" s="1411">
        <f>CEILING(BZ17*$C$16,50)</f>
        <v>1450</v>
      </c>
      <c r="CA19" s="1411">
        <f>CEILING($CA$15*C19,50)</f>
        <v>1550</v>
      </c>
      <c r="CB19" s="1411">
        <f>CEILING(CB15*$C$19,50)</f>
        <v>1400</v>
      </c>
      <c r="CC19" s="1411">
        <f>CEILING(CC15*$C$19,50)</f>
        <v>1450</v>
      </c>
      <c r="CD19" s="1411">
        <f>CEILING(CD15*$C$19,50)</f>
        <v>1550</v>
      </c>
      <c r="CE19" s="609" t="e">
        <f>#REF!</f>
        <v>#REF!</v>
      </c>
      <c r="CF19" s="1411">
        <f>CEILING($CF$15*C19,50)</f>
        <v>1700</v>
      </c>
      <c r="CG19" s="1411">
        <f>CEILING($CG$15*C19,50)</f>
        <v>1750</v>
      </c>
      <c r="CH19" s="1411">
        <f>CEILING($CH$15*C19,50)</f>
        <v>1850</v>
      </c>
      <c r="CI19" s="1411">
        <f>CEILING($CI$15*C19,50)</f>
        <v>1950</v>
      </c>
      <c r="CJ19" s="1411">
        <f>CEILING($CJ$15*C19,50)</f>
        <v>1750</v>
      </c>
      <c r="CK19" s="1411">
        <f>CEILING(CK15*$C$19,50)</f>
        <v>1850</v>
      </c>
      <c r="CL19" s="1411">
        <f t="shared" ref="CL19:CS19" si="10">CEILING(CL15*$C$19,50)</f>
        <v>1950</v>
      </c>
      <c r="CM19" s="1411">
        <f>CEILING(CM15*$C$19,50)</f>
        <v>2100</v>
      </c>
      <c r="CN19" s="1411">
        <f t="shared" si="10"/>
        <v>1850</v>
      </c>
      <c r="CO19" s="1411">
        <f t="shared" si="10"/>
        <v>1950</v>
      </c>
      <c r="CP19" s="1411">
        <f t="shared" si="10"/>
        <v>2100</v>
      </c>
      <c r="CQ19" s="1411">
        <f t="shared" si="10"/>
        <v>1850</v>
      </c>
      <c r="CR19" s="1411">
        <f t="shared" si="10"/>
        <v>1950</v>
      </c>
      <c r="CS19" s="1411">
        <f t="shared" si="10"/>
        <v>2100</v>
      </c>
      <c r="CT19" s="609" t="e">
        <f>#REF!</f>
        <v>#REF!</v>
      </c>
      <c r="CU19" s="1221"/>
      <c r="CV19" s="1294">
        <f>CEILING($CV$15*C19,50)</f>
        <v>4550</v>
      </c>
      <c r="CW19" s="1294">
        <f>CEILING($CW$15*C19,50)</f>
        <v>5250</v>
      </c>
      <c r="CX19" s="588">
        <f>CEILING($CX$15*C19,50)</f>
        <v>5650</v>
      </c>
      <c r="CY19" s="588">
        <f>CEILING($CY$15*C19,50)</f>
        <v>6800</v>
      </c>
      <c r="CZ19" s="1294">
        <f>CEILING($CZ$15*C19,50)</f>
        <v>5900</v>
      </c>
      <c r="DA19" s="1294">
        <f>CEILING($DA$15*C19,50)</f>
        <v>7100</v>
      </c>
      <c r="DB19" s="1293">
        <f>CEILING($DB$15*C19,50)</f>
        <v>6950</v>
      </c>
      <c r="DC19" s="1294">
        <f t="shared" ref="DC19:DH19" si="11">CEILING(DC15*$C$19,50)</f>
        <v>6950</v>
      </c>
      <c r="DD19" s="1294">
        <f t="shared" si="11"/>
        <v>12950</v>
      </c>
      <c r="DE19" s="588">
        <f t="shared" si="11"/>
        <v>12950</v>
      </c>
      <c r="DF19" s="588">
        <f t="shared" si="11"/>
        <v>12950</v>
      </c>
      <c r="DG19" s="1294">
        <f t="shared" si="11"/>
        <v>3150</v>
      </c>
      <c r="DH19" s="1294">
        <f t="shared" si="11"/>
        <v>3750</v>
      </c>
      <c r="DI19" s="588">
        <f>CEILING(DI15*$C$19,10)</f>
        <v>1750</v>
      </c>
      <c r="DJ19" s="1225"/>
      <c r="DK19" s="979">
        <f>CEILING(DK15*C19,50)</f>
        <v>13100</v>
      </c>
      <c r="DL19" s="594">
        <f>CEILING(DL15*C19,50)</f>
        <v>23900</v>
      </c>
      <c r="DM19" s="979">
        <f>CEILING(EC19,50)</f>
        <v>6050</v>
      </c>
      <c r="DN19" s="1226"/>
      <c r="DO19" s="1226"/>
      <c r="DP19" s="979">
        <f>CEILING(DP15*C19,50)</f>
        <v>34900</v>
      </c>
      <c r="DQ19" s="1643"/>
      <c r="DR19" s="1299"/>
      <c r="DS19" s="1386"/>
      <c r="DT19" s="1386"/>
      <c r="DU19" s="1298"/>
      <c r="DV19" s="1299"/>
      <c r="DW19" s="1298"/>
      <c r="DX19" s="1299"/>
      <c r="DY19" s="1298"/>
      <c r="DZ19" s="1299"/>
      <c r="EA19" s="1298">
        <f>'Полотна база'!BC13</f>
        <v>48260</v>
      </c>
      <c r="EB19" s="1299">
        <f>(EA19/1.6)*$EB$9</f>
        <v>30162.5</v>
      </c>
      <c r="EC19" s="1299">
        <f>(EA19/1.6)*$EC$9</f>
        <v>6032.5</v>
      </c>
    </row>
    <row r="20" spans="1:136" s="838" customFormat="1" ht="23.45" hidden="1" customHeight="1" outlineLevel="1">
      <c r="A20" s="2749" t="s">
        <v>1173</v>
      </c>
      <c r="B20" s="2749"/>
      <c r="C20" s="882" t="e">
        <f>CEILING(#REF!/10*4, 50)</f>
        <v>#REF!</v>
      </c>
      <c r="D20" s="882"/>
      <c r="E20" s="882"/>
      <c r="F20" s="882"/>
      <c r="G20" s="882"/>
      <c r="H20" s="882"/>
      <c r="I20" s="882"/>
      <c r="J20" s="882"/>
      <c r="K20" s="882"/>
      <c r="L20" s="882"/>
      <c r="M20" s="882"/>
      <c r="N20" s="882"/>
      <c r="O20" s="882"/>
      <c r="P20" s="882"/>
      <c r="Q20" s="1202"/>
      <c r="R20" s="1197"/>
      <c r="S20" s="1197"/>
      <c r="T20" s="1058"/>
      <c r="U20" s="1058"/>
      <c r="V20" s="1058"/>
      <c r="W20" s="1058"/>
      <c r="X20" s="1197"/>
      <c r="Y20" s="1058"/>
      <c r="Z20" s="882"/>
      <c r="AA20" s="882"/>
      <c r="AB20" s="882"/>
      <c r="AC20" s="882"/>
      <c r="AD20" s="1058">
        <f>CEILING(AD15*0.28, 50)</f>
        <v>750</v>
      </c>
      <c r="AE20" s="1058">
        <f>CEILING(AE15*0.28, 50)</f>
        <v>1300</v>
      </c>
      <c r="AF20" s="882"/>
      <c r="AG20" s="882"/>
      <c r="AH20" s="882"/>
      <c r="AI20" s="882"/>
      <c r="AJ20" s="882"/>
      <c r="AK20" s="882"/>
      <c r="AL20" s="882"/>
      <c r="AM20" s="882"/>
      <c r="AN20" s="882"/>
      <c r="AO20" s="882"/>
      <c r="AP20" s="882"/>
      <c r="AQ20" s="882"/>
      <c r="AR20" s="882"/>
      <c r="AS20" s="598">
        <f>AS18</f>
        <v>170</v>
      </c>
      <c r="AT20" s="882"/>
      <c r="AU20" s="882"/>
      <c r="AV20" s="882"/>
      <c r="AW20" s="882"/>
      <c r="AX20" s="882"/>
      <c r="AY20" s="882"/>
      <c r="AZ20" s="1407"/>
      <c r="BA20" s="882"/>
      <c r="BB20" s="882"/>
      <c r="BC20" s="882"/>
      <c r="BD20" s="882"/>
      <c r="BE20" s="882"/>
      <c r="BF20" s="882"/>
      <c r="BG20" s="882"/>
      <c r="BH20" s="882"/>
      <c r="BI20" s="1648"/>
      <c r="BJ20" s="882"/>
      <c r="BK20" s="882"/>
      <c r="BL20" s="882"/>
      <c r="BM20" s="882"/>
      <c r="BN20" s="882"/>
      <c r="BO20" s="882"/>
      <c r="BP20" s="882"/>
      <c r="BQ20" s="609" t="e">
        <f>#REF!</f>
        <v>#REF!</v>
      </c>
      <c r="BR20" s="609" t="e">
        <f>#REF!</f>
        <v>#REF!</v>
      </c>
      <c r="BS20" s="609" t="e">
        <f>#REF!</f>
        <v>#REF!</v>
      </c>
      <c r="BT20" s="609" t="e">
        <f>#REF!</f>
        <v>#REF!</v>
      </c>
      <c r="BU20" s="609" t="e">
        <f>#REF!</f>
        <v>#REF!</v>
      </c>
      <c r="BV20" s="609" t="e">
        <f>#REF!</f>
        <v>#REF!</v>
      </c>
      <c r="BW20" s="609" t="e">
        <f>#REF!</f>
        <v>#REF!</v>
      </c>
      <c r="BX20" s="609" t="e">
        <f>#REF!</f>
        <v>#REF!</v>
      </c>
      <c r="BY20" s="609"/>
      <c r="BZ20" s="609"/>
      <c r="CA20" s="609"/>
      <c r="CB20" s="609"/>
      <c r="CC20" s="609"/>
      <c r="CD20" s="609"/>
      <c r="CE20" s="609"/>
      <c r="CF20" s="609" t="e">
        <f>#REF!</f>
        <v>#REF!</v>
      </c>
      <c r="CG20" s="609" t="e">
        <f>#REF!</f>
        <v>#REF!</v>
      </c>
      <c r="CH20" s="609" t="e">
        <f>#REF!</f>
        <v>#REF!</v>
      </c>
      <c r="CI20" s="609" t="e">
        <f>#REF!</f>
        <v>#REF!</v>
      </c>
      <c r="CJ20" s="609" t="e">
        <f>#REF!</f>
        <v>#REF!</v>
      </c>
      <c r="CK20" s="609" t="e">
        <f>#REF!</f>
        <v>#REF!</v>
      </c>
      <c r="CL20" s="609" t="e">
        <f>#REF!</f>
        <v>#REF!</v>
      </c>
      <c r="CM20" s="609" t="e">
        <f>#REF!</f>
        <v>#REF!</v>
      </c>
      <c r="CN20" s="609"/>
      <c r="CO20" s="609"/>
      <c r="CP20" s="609"/>
      <c r="CQ20" s="609"/>
      <c r="CR20" s="609"/>
      <c r="CS20" s="609"/>
      <c r="CT20" s="609"/>
      <c r="CU20" s="882"/>
      <c r="CV20" s="588"/>
      <c r="CW20" s="882"/>
      <c r="CX20" s="882"/>
      <c r="CY20" s="882"/>
      <c r="CZ20" s="882"/>
      <c r="DA20" s="882"/>
      <c r="DB20" s="1407"/>
      <c r="DC20" s="882"/>
      <c r="DD20" s="882"/>
      <c r="DE20" s="882"/>
      <c r="DF20" s="882"/>
      <c r="DG20" s="882"/>
      <c r="DH20" s="882"/>
      <c r="DI20" s="882"/>
      <c r="DJ20" s="882"/>
      <c r="DK20" s="882"/>
      <c r="DL20" s="882"/>
      <c r="DM20" s="882"/>
      <c r="DN20" s="882"/>
      <c r="DO20" s="882"/>
      <c r="DP20" s="882"/>
      <c r="EB20" s="1301"/>
      <c r="EC20" s="1227"/>
    </row>
    <row r="21" spans="1:136" s="838" customFormat="1" ht="24.6" hidden="1" customHeight="1" outlineLevel="1">
      <c r="A21" s="2750" t="s">
        <v>1172</v>
      </c>
      <c r="B21" s="2750"/>
      <c r="C21" s="1784"/>
      <c r="D21" s="1784"/>
      <c r="E21" s="1784"/>
      <c r="F21" s="1784"/>
      <c r="G21" s="1784"/>
      <c r="H21" s="1784"/>
      <c r="I21" s="1784"/>
      <c r="J21" s="1784"/>
      <c r="K21" s="1784"/>
      <c r="L21" s="1784"/>
      <c r="M21" s="1784"/>
      <c r="N21" s="1784"/>
      <c r="O21" s="1784"/>
      <c r="P21" s="1784"/>
      <c r="Q21" s="1785"/>
      <c r="R21" s="1784"/>
      <c r="S21" s="1784"/>
      <c r="T21" s="1786"/>
      <c r="U21" s="1786"/>
      <c r="V21" s="1784"/>
      <c r="W21" s="1784"/>
      <c r="X21" s="1784"/>
      <c r="Y21" s="1786"/>
      <c r="Z21" s="1784"/>
      <c r="AA21" s="1784"/>
      <c r="AB21" s="1784"/>
      <c r="AC21" s="1784"/>
      <c r="AD21" s="1786">
        <f>CEILING(AD15*0.15, 50)</f>
        <v>400</v>
      </c>
      <c r="AE21" s="1786">
        <f>CEILING(AE15*0.15, 50)</f>
        <v>700</v>
      </c>
      <c r="AF21" s="1784"/>
      <c r="AG21" s="1784"/>
      <c r="AH21" s="1784"/>
      <c r="AI21" s="1784"/>
      <c r="AJ21" s="1784"/>
      <c r="AK21" s="1784"/>
      <c r="AL21" s="1784"/>
      <c r="AM21" s="1784"/>
      <c r="AN21" s="1784"/>
      <c r="AO21" s="1784"/>
      <c r="AP21" s="1784"/>
      <c r="AQ21" s="1784"/>
      <c r="AR21" s="1784"/>
      <c r="AS21" s="598">
        <f>AS19</f>
        <v>170</v>
      </c>
      <c r="AT21" s="1784"/>
      <c r="AU21" s="1784"/>
      <c r="AV21" s="1784"/>
      <c r="AW21" s="1784"/>
      <c r="AX21" s="1784"/>
      <c r="AY21" s="1784"/>
      <c r="AZ21" s="1784"/>
      <c r="BA21" s="1784"/>
      <c r="BB21" s="1784"/>
      <c r="BC21" s="1784"/>
      <c r="BD21" s="1784"/>
      <c r="BE21" s="1784"/>
      <c r="BF21" s="1784"/>
      <c r="BG21" s="1784"/>
      <c r="BH21" s="1784"/>
      <c r="BI21" s="1677"/>
      <c r="BJ21" s="1784"/>
      <c r="BK21" s="1784"/>
      <c r="BL21" s="1784"/>
      <c r="BM21" s="1784"/>
      <c r="BN21" s="1784"/>
      <c r="BO21" s="1784"/>
      <c r="BP21" s="1784"/>
      <c r="BQ21" s="1784"/>
      <c r="BR21" s="1784"/>
      <c r="BS21" s="1784"/>
      <c r="BT21" s="1784"/>
      <c r="BU21" s="1784"/>
      <c r="BV21" s="1784"/>
      <c r="BW21" s="1784"/>
      <c r="BX21" s="1784"/>
      <c r="BY21" s="1786"/>
      <c r="BZ21" s="1786"/>
      <c r="CA21" s="1786"/>
      <c r="CB21" s="1786"/>
      <c r="CC21" s="1786"/>
      <c r="CD21" s="1786"/>
      <c r="CE21" s="1786"/>
      <c r="CF21" s="1784"/>
      <c r="CG21" s="1784"/>
      <c r="CH21" s="1784"/>
      <c r="CI21" s="1784"/>
      <c r="CJ21" s="1784"/>
      <c r="CK21" s="1784"/>
      <c r="CL21" s="1784"/>
      <c r="CM21" s="1784"/>
      <c r="CN21" s="1786"/>
      <c r="CO21" s="1786"/>
      <c r="CP21" s="1786"/>
      <c r="CQ21" s="1786"/>
      <c r="CR21" s="1786"/>
      <c r="CS21" s="1786"/>
      <c r="CT21" s="1786"/>
      <c r="CU21" s="1784"/>
      <c r="CV21" s="1784"/>
      <c r="CW21" s="1784"/>
      <c r="CX21" s="1784"/>
      <c r="CY21" s="1784"/>
      <c r="CZ21" s="1784"/>
      <c r="DA21" s="1784"/>
      <c r="DB21" s="1784"/>
      <c r="DC21" s="1784"/>
      <c r="DD21" s="1784"/>
      <c r="DE21" s="1784"/>
      <c r="DF21" s="1784"/>
      <c r="DG21" s="1784"/>
      <c r="DH21" s="1784"/>
      <c r="DI21" s="1784"/>
      <c r="DJ21" s="1784"/>
      <c r="DK21" s="1784"/>
      <c r="DL21" s="1784"/>
      <c r="DM21" s="1784"/>
      <c r="DN21" s="1784"/>
      <c r="DO21" s="1784"/>
      <c r="DP21" s="1784"/>
      <c r="DX21" s="838">
        <f>DW15/1.6</f>
        <v>32468.75</v>
      </c>
    </row>
    <row r="22" spans="1:136" s="937" customFormat="1" ht="15" hidden="1" outlineLevel="1">
      <c r="A22" s="935" t="s">
        <v>1067</v>
      </c>
      <c r="B22" s="936"/>
      <c r="D22" s="938"/>
      <c r="E22" s="938"/>
      <c r="L22" s="936"/>
      <c r="AH22" s="939"/>
      <c r="AW22" s="936"/>
      <c r="BG22" s="936"/>
      <c r="BH22" s="936"/>
      <c r="CU22" s="936"/>
      <c r="DJ22" s="936"/>
    </row>
    <row r="23" spans="1:136" s="139" customFormat="1" ht="15" hidden="1" customHeight="1" outlineLevel="1">
      <c r="A23" s="2705" t="s">
        <v>760</v>
      </c>
      <c r="B23" s="2705"/>
      <c r="C23" s="940"/>
      <c r="D23" s="1728"/>
      <c r="E23" s="1728"/>
      <c r="F23" s="1728"/>
      <c r="G23" s="1728"/>
      <c r="H23" s="1728"/>
      <c r="I23" s="1728"/>
      <c r="J23" s="1728"/>
      <c r="K23" s="1728"/>
      <c r="L23" s="941"/>
      <c r="M23" s="1193"/>
      <c r="N23" s="119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942"/>
      <c r="AB23" s="942"/>
      <c r="AC23" s="1193"/>
      <c r="AD23" s="1193"/>
      <c r="AE23" s="1193"/>
      <c r="AF23" s="1193"/>
      <c r="AG23" s="1193"/>
      <c r="AH23" s="2712" t="s">
        <v>758</v>
      </c>
      <c r="AI23" s="2712"/>
      <c r="AJ23" s="2739"/>
      <c r="AK23" s="2712"/>
      <c r="AL23" s="2739"/>
      <c r="AM23" s="2712"/>
      <c r="AN23" s="2712"/>
      <c r="AO23" s="2712"/>
      <c r="AP23" s="2712"/>
      <c r="AQ23" s="2712"/>
      <c r="AR23" s="2712"/>
      <c r="AS23" s="2698" t="s">
        <v>1550</v>
      </c>
      <c r="AT23" s="2698" t="s">
        <v>640</v>
      </c>
      <c r="AU23" s="2718" t="s">
        <v>507</v>
      </c>
      <c r="AV23" s="2698" t="s">
        <v>1434</v>
      </c>
      <c r="AW23" s="2758" t="s">
        <v>1552</v>
      </c>
      <c r="AX23" s="2706" t="s">
        <v>85</v>
      </c>
      <c r="AY23" s="2707"/>
      <c r="AZ23" s="2707"/>
      <c r="BA23" s="2707"/>
      <c r="BB23" s="2707"/>
      <c r="BC23" s="2707"/>
      <c r="BD23" s="2707"/>
      <c r="BE23" s="2707"/>
      <c r="BF23" s="2707"/>
      <c r="BG23" s="941"/>
      <c r="BH23" s="941"/>
      <c r="BI23" s="947"/>
      <c r="BJ23" s="2713" t="s">
        <v>279</v>
      </c>
      <c r="BK23" s="2713"/>
      <c r="BL23" s="2713"/>
      <c r="BM23" s="2713"/>
      <c r="BN23" s="2713"/>
      <c r="BO23" s="2713"/>
      <c r="BP23" s="2713"/>
      <c r="BQ23" s="2709" t="s">
        <v>759</v>
      </c>
      <c r="BR23" s="2710"/>
      <c r="BS23" s="2710"/>
      <c r="BT23" s="2710"/>
      <c r="BU23" s="2710"/>
      <c r="BV23" s="2710"/>
      <c r="BW23" s="2710"/>
      <c r="BX23" s="2710"/>
      <c r="BY23" s="2710"/>
      <c r="BZ23" s="2710"/>
      <c r="CA23" s="2710"/>
      <c r="CB23" s="2710"/>
      <c r="CC23" s="2710"/>
      <c r="CD23" s="2710"/>
      <c r="CE23" s="2710"/>
      <c r="CF23" s="2710"/>
      <c r="CG23" s="2710"/>
      <c r="CH23" s="2710"/>
      <c r="CI23" s="2710"/>
      <c r="CJ23" s="2710"/>
      <c r="CK23" s="2710"/>
      <c r="CL23" s="2710"/>
      <c r="CM23" s="2710"/>
      <c r="CN23" s="2710"/>
      <c r="CO23" s="2710"/>
      <c r="CP23" s="2710"/>
      <c r="CQ23" s="2710"/>
      <c r="CR23" s="2710"/>
      <c r="CS23" s="2710"/>
      <c r="CT23" s="2710"/>
      <c r="CU23" s="941"/>
      <c r="CV23" s="944"/>
      <c r="CW23" s="944"/>
      <c r="CX23" s="944"/>
      <c r="CY23" s="944"/>
      <c r="CZ23" s="944"/>
      <c r="DA23" s="944"/>
      <c r="DB23" s="945" t="s">
        <v>777</v>
      </c>
      <c r="DC23" s="944"/>
      <c r="DD23" s="944"/>
      <c r="DE23" s="944"/>
      <c r="DF23" s="944"/>
      <c r="DG23" s="944"/>
      <c r="DH23" s="944"/>
      <c r="DI23" s="946"/>
      <c r="DJ23" s="941"/>
      <c r="DK23" s="2712" t="s">
        <v>505</v>
      </c>
      <c r="DL23" s="2712"/>
      <c r="DM23" s="2712"/>
      <c r="DN23" s="2739"/>
      <c r="DO23" s="2712"/>
      <c r="DP23" s="2712"/>
      <c r="DQ23" s="947"/>
      <c r="DR23" s="947"/>
      <c r="DS23" s="947"/>
      <c r="DT23" s="947"/>
      <c r="DU23" s="947"/>
      <c r="DV23" s="947"/>
      <c r="DW23" s="947"/>
      <c r="DX23" s="947"/>
      <c r="DY23" s="947"/>
      <c r="DZ23" s="947"/>
      <c r="EA23" s="947"/>
      <c r="EB23" s="947"/>
      <c r="EC23" s="947"/>
      <c r="ED23" s="947"/>
      <c r="EE23" s="947"/>
      <c r="EF23" s="947"/>
    </row>
    <row r="24" spans="1:136" s="853" customFormat="1" ht="12.75" hidden="1" customHeight="1" outlineLevel="1">
      <c r="A24" s="2705" t="s">
        <v>526</v>
      </c>
      <c r="B24" s="2705"/>
      <c r="C24" s="948"/>
      <c r="D24" s="1194"/>
      <c r="E24" s="1194"/>
      <c r="F24" s="1194"/>
      <c r="G24" s="1194"/>
      <c r="H24" s="1194"/>
      <c r="I24" s="1194"/>
      <c r="J24" s="1194"/>
      <c r="K24" s="1729"/>
      <c r="L24" s="949"/>
      <c r="M24" s="1730"/>
      <c r="N24" s="1730"/>
      <c r="O24" s="1730"/>
      <c r="P24" s="1730"/>
      <c r="Q24" s="1730"/>
      <c r="R24" s="1730"/>
      <c r="S24" s="1730"/>
      <c r="T24" s="1730"/>
      <c r="U24" s="1730"/>
      <c r="V24" s="1730"/>
      <c r="W24" s="1730"/>
      <c r="X24" s="1730"/>
      <c r="Y24" s="1731"/>
      <c r="Z24" s="951" t="s">
        <v>768</v>
      </c>
      <c r="AA24" s="950"/>
      <c r="AB24" s="950"/>
      <c r="AC24" s="950"/>
      <c r="AD24" s="950"/>
      <c r="AE24" s="952"/>
      <c r="AF24" s="951" t="s">
        <v>769</v>
      </c>
      <c r="AG24" s="952"/>
      <c r="AH24" s="2760" t="s">
        <v>1108</v>
      </c>
      <c r="AI24" s="2761"/>
      <c r="AJ24" s="2761"/>
      <c r="AK24" s="2762"/>
      <c r="AL24" s="1727"/>
      <c r="AM24" s="2718" t="s">
        <v>784</v>
      </c>
      <c r="AN24" s="2699" t="s">
        <v>785</v>
      </c>
      <c r="AO24" s="2700"/>
      <c r="AP24" s="2700"/>
      <c r="AQ24" s="2700"/>
      <c r="AR24" s="2701"/>
      <c r="AS24" s="2698"/>
      <c r="AT24" s="2698"/>
      <c r="AU24" s="2740"/>
      <c r="AV24" s="2698"/>
      <c r="AW24" s="2759"/>
      <c r="AX24" s="2699" t="s">
        <v>514</v>
      </c>
      <c r="AY24" s="2700"/>
      <c r="AZ24" s="2701"/>
      <c r="BA24" s="2699" t="s">
        <v>766</v>
      </c>
      <c r="BB24" s="2700"/>
      <c r="BC24" s="2701"/>
      <c r="BD24" s="2718" t="s">
        <v>771</v>
      </c>
      <c r="BE24" s="2718" t="s">
        <v>536</v>
      </c>
      <c r="BF24" s="2718" t="s">
        <v>770</v>
      </c>
      <c r="BG24" s="949"/>
      <c r="BH24" s="949"/>
      <c r="BI24" s="953"/>
      <c r="BJ24" s="2699" t="s">
        <v>786</v>
      </c>
      <c r="BK24" s="2700"/>
      <c r="BL24" s="2701"/>
      <c r="BM24" s="2720" t="s">
        <v>787</v>
      </c>
      <c r="BN24" s="2721"/>
      <c r="BO24" s="2722"/>
      <c r="BP24" s="2718" t="s">
        <v>788</v>
      </c>
      <c r="BQ24" s="2695" t="s">
        <v>764</v>
      </c>
      <c r="BR24" s="2696"/>
      <c r="BS24" s="2696"/>
      <c r="BT24" s="2696"/>
      <c r="BU24" s="2696"/>
      <c r="BV24" s="2696"/>
      <c r="BW24" s="2696"/>
      <c r="BX24" s="2696"/>
      <c r="BY24" s="2696"/>
      <c r="BZ24" s="2696"/>
      <c r="CA24" s="2696"/>
      <c r="CB24" s="2696"/>
      <c r="CC24" s="2696"/>
      <c r="CD24" s="2696"/>
      <c r="CE24" s="2697"/>
      <c r="CF24" s="2695" t="s">
        <v>765</v>
      </c>
      <c r="CG24" s="2696"/>
      <c r="CH24" s="2696"/>
      <c r="CI24" s="2696"/>
      <c r="CJ24" s="2696"/>
      <c r="CK24" s="2696"/>
      <c r="CL24" s="2696"/>
      <c r="CM24" s="2696"/>
      <c r="CN24" s="2696"/>
      <c r="CO24" s="2696"/>
      <c r="CP24" s="2696"/>
      <c r="CQ24" s="2696"/>
      <c r="CR24" s="2696"/>
      <c r="CS24" s="2696"/>
      <c r="CT24" s="2696"/>
      <c r="CU24" s="949"/>
      <c r="CV24" s="2698" t="s">
        <v>515</v>
      </c>
      <c r="CW24" s="2698"/>
      <c r="CX24" s="2698" t="s">
        <v>516</v>
      </c>
      <c r="CY24" s="2698"/>
      <c r="CZ24" s="2698" t="s">
        <v>517</v>
      </c>
      <c r="DA24" s="2698"/>
      <c r="DB24" s="2698" t="s">
        <v>518</v>
      </c>
      <c r="DC24" s="2698"/>
      <c r="DD24" s="2698" t="s">
        <v>519</v>
      </c>
      <c r="DE24" s="2698"/>
      <c r="DF24" s="2698"/>
      <c r="DG24" s="2698" t="s">
        <v>520</v>
      </c>
      <c r="DH24" s="2698" t="s">
        <v>521</v>
      </c>
      <c r="DI24" s="2698" t="s">
        <v>1433</v>
      </c>
      <c r="DJ24" s="949"/>
      <c r="DK24" s="2698" t="s">
        <v>776</v>
      </c>
      <c r="DL24" s="2698"/>
      <c r="DM24" s="2698"/>
      <c r="DN24" s="1379"/>
      <c r="DO24" s="2698" t="s">
        <v>742</v>
      </c>
      <c r="DP24" s="2698"/>
      <c r="DQ24" s="953"/>
      <c r="DR24" s="953"/>
      <c r="DS24" s="953"/>
      <c r="DT24" s="953"/>
      <c r="DU24" s="953"/>
      <c r="DV24" s="953"/>
      <c r="DW24" s="953"/>
      <c r="DX24" s="953"/>
      <c r="DY24" s="953"/>
      <c r="DZ24" s="953"/>
      <c r="EA24" s="953"/>
      <c r="EB24" s="953"/>
      <c r="EC24" s="953"/>
      <c r="ED24" s="953"/>
      <c r="EE24" s="953"/>
      <c r="EF24" s="953"/>
    </row>
    <row r="25" spans="1:136" s="595" customFormat="1" ht="54.75" hidden="1" customHeight="1" outlineLevel="1">
      <c r="A25" s="2705"/>
      <c r="B25" s="2705"/>
      <c r="C25" s="2400">
        <v>0.39</v>
      </c>
      <c r="D25" s="954" t="s">
        <v>1305</v>
      </c>
      <c r="E25" s="954" t="s">
        <v>1319</v>
      </c>
      <c r="F25" s="1725" t="s">
        <v>17</v>
      </c>
      <c r="G25" s="1725" t="s">
        <v>245</v>
      </c>
      <c r="H25" s="1725" t="s">
        <v>512</v>
      </c>
      <c r="I25" s="1723" t="s">
        <v>752</v>
      </c>
      <c r="J25" s="955" t="s">
        <v>1430</v>
      </c>
      <c r="K25" s="956" t="s">
        <v>754</v>
      </c>
      <c r="L25" s="955" t="s">
        <v>1429</v>
      </c>
      <c r="M25" s="943" t="s">
        <v>1427</v>
      </c>
      <c r="N25" s="942"/>
      <c r="O25" s="942"/>
      <c r="P25" s="957"/>
      <c r="Q25" s="1195"/>
      <c r="R25" s="1732" t="s">
        <v>1299</v>
      </c>
      <c r="S25" s="1732" t="s">
        <v>1301</v>
      </c>
      <c r="T25" s="958" t="s">
        <v>70</v>
      </c>
      <c r="U25" s="958" t="s">
        <v>71</v>
      </c>
      <c r="V25" s="958" t="s">
        <v>226</v>
      </c>
      <c r="W25" s="1723" t="s">
        <v>536</v>
      </c>
      <c r="X25" s="1732" t="s">
        <v>1297</v>
      </c>
      <c r="Y25" s="958" t="s">
        <v>199</v>
      </c>
      <c r="Z25" s="945" t="s">
        <v>17</v>
      </c>
      <c r="AA25" s="945" t="s">
        <v>17</v>
      </c>
      <c r="AB25" s="945" t="s">
        <v>17</v>
      </c>
      <c r="AC25" s="945" t="s">
        <v>245</v>
      </c>
      <c r="AD25" s="956" t="s">
        <v>512</v>
      </c>
      <c r="AE25" s="956" t="s">
        <v>513</v>
      </c>
      <c r="AF25" s="959" t="s">
        <v>756</v>
      </c>
      <c r="AG25" s="959" t="s">
        <v>757</v>
      </c>
      <c r="AH25" s="2760" t="s">
        <v>1109</v>
      </c>
      <c r="AI25" s="2761"/>
      <c r="AJ25" s="2762"/>
      <c r="AK25" s="1733" t="s">
        <v>1110</v>
      </c>
      <c r="AL25" s="1734" t="s">
        <v>1309</v>
      </c>
      <c r="AM25" s="2719"/>
      <c r="AN25" s="2702"/>
      <c r="AO25" s="2703"/>
      <c r="AP25" s="2703"/>
      <c r="AQ25" s="2703"/>
      <c r="AR25" s="2704"/>
      <c r="AS25" s="2698"/>
      <c r="AT25" s="2698"/>
      <c r="AU25" s="2719"/>
      <c r="AV25" s="2698"/>
      <c r="AW25" s="2759"/>
      <c r="AX25" s="2702"/>
      <c r="AY25" s="2703"/>
      <c r="AZ25" s="2704"/>
      <c r="BA25" s="2702"/>
      <c r="BB25" s="2703"/>
      <c r="BC25" s="2704"/>
      <c r="BD25" s="2719"/>
      <c r="BE25" s="2719"/>
      <c r="BF25" s="2719"/>
      <c r="BG25" s="941" t="s">
        <v>1711</v>
      </c>
      <c r="BH25" s="941" t="s">
        <v>1712</v>
      </c>
      <c r="BI25" s="1735" t="s">
        <v>1590</v>
      </c>
      <c r="BJ25" s="2702"/>
      <c r="BK25" s="2703"/>
      <c r="BL25" s="2704"/>
      <c r="BM25" s="2723"/>
      <c r="BN25" s="2724"/>
      <c r="BO25" s="2725"/>
      <c r="BP25" s="2719"/>
      <c r="BQ25" s="2709" t="s">
        <v>270</v>
      </c>
      <c r="BR25" s="2710"/>
      <c r="BS25" s="2710"/>
      <c r="BT25" s="2711"/>
      <c r="BU25" s="2706" t="s">
        <v>271</v>
      </c>
      <c r="BV25" s="2707"/>
      <c r="BW25" s="2707"/>
      <c r="BX25" s="2708"/>
      <c r="BY25" s="2709" t="s">
        <v>268</v>
      </c>
      <c r="BZ25" s="2710"/>
      <c r="CA25" s="2711"/>
      <c r="CB25" s="2706" t="s">
        <v>269</v>
      </c>
      <c r="CC25" s="2707"/>
      <c r="CD25" s="2708"/>
      <c r="CE25" s="960" t="s">
        <v>800</v>
      </c>
      <c r="CF25" s="2709" t="s">
        <v>275</v>
      </c>
      <c r="CG25" s="2710"/>
      <c r="CH25" s="2710"/>
      <c r="CI25" s="2711"/>
      <c r="CJ25" s="2709" t="s">
        <v>276</v>
      </c>
      <c r="CK25" s="2710"/>
      <c r="CL25" s="2710"/>
      <c r="CM25" s="2711"/>
      <c r="CN25" s="2712" t="s">
        <v>646</v>
      </c>
      <c r="CO25" s="2713"/>
      <c r="CP25" s="2713"/>
      <c r="CQ25" s="2712" t="s">
        <v>647</v>
      </c>
      <c r="CR25" s="2713"/>
      <c r="CS25" s="2713"/>
      <c r="CT25" s="960" t="s">
        <v>277</v>
      </c>
      <c r="CU25" s="941"/>
      <c r="CV25" s="2698"/>
      <c r="CW25" s="2698"/>
      <c r="CX25" s="2698"/>
      <c r="CY25" s="2698"/>
      <c r="CZ25" s="2698"/>
      <c r="DA25" s="2698"/>
      <c r="DB25" s="961" t="s">
        <v>153</v>
      </c>
      <c r="DC25" s="961" t="s">
        <v>154</v>
      </c>
      <c r="DD25" s="1726" t="s">
        <v>151</v>
      </c>
      <c r="DE25" s="1726" t="s">
        <v>522</v>
      </c>
      <c r="DF25" s="956" t="s">
        <v>523</v>
      </c>
      <c r="DG25" s="2698"/>
      <c r="DH25" s="2698"/>
      <c r="DI25" s="2698"/>
      <c r="DJ25" s="941"/>
      <c r="DK25" s="959" t="s">
        <v>772</v>
      </c>
      <c r="DL25" s="959" t="s">
        <v>1072</v>
      </c>
      <c r="DM25" s="959" t="s">
        <v>773</v>
      </c>
      <c r="DN25" s="1380" t="s">
        <v>1421</v>
      </c>
      <c r="DO25" s="959" t="s">
        <v>734</v>
      </c>
      <c r="DP25" s="959" t="s">
        <v>735</v>
      </c>
      <c r="DQ25" s="962"/>
      <c r="DR25" s="1736">
        <v>1.1200000000000001</v>
      </c>
      <c r="DS25" s="1736"/>
      <c r="DT25" s="1736"/>
      <c r="DU25" s="1736"/>
      <c r="DV25" s="1736">
        <v>1.0900000000000001</v>
      </c>
      <c r="DW25" s="1736"/>
      <c r="DX25" s="1736">
        <v>1.0900000000000001</v>
      </c>
      <c r="DY25" s="1736"/>
      <c r="DZ25" s="1736">
        <v>1.0900000000000001</v>
      </c>
      <c r="EA25" s="1736"/>
      <c r="EB25" s="1736">
        <v>1</v>
      </c>
      <c r="EC25" s="1737">
        <v>0.2</v>
      </c>
      <c r="ED25" s="962" t="s">
        <v>1395</v>
      </c>
      <c r="EE25" s="962"/>
      <c r="EF25" s="962"/>
    </row>
    <row r="26" spans="1:136" s="879" customFormat="1" ht="24" hidden="1" customHeight="1" outlineLevel="1">
      <c r="A26" s="2755" t="s">
        <v>761</v>
      </c>
      <c r="B26" s="2755"/>
      <c r="C26" s="963"/>
      <c r="D26" s="964" t="s">
        <v>779</v>
      </c>
      <c r="E26" s="964"/>
      <c r="F26" s="965" t="s">
        <v>780</v>
      </c>
      <c r="G26" s="965" t="s">
        <v>781</v>
      </c>
      <c r="H26" s="965" t="s">
        <v>782</v>
      </c>
      <c r="I26" s="966" t="s">
        <v>779</v>
      </c>
      <c r="J26" s="967" t="s">
        <v>783</v>
      </c>
      <c r="K26" s="967" t="s">
        <v>265</v>
      </c>
      <c r="L26" s="968" t="s">
        <v>1431</v>
      </c>
      <c r="M26" s="1724" t="s">
        <v>720</v>
      </c>
      <c r="N26" s="1724" t="s">
        <v>721</v>
      </c>
      <c r="O26" s="1724" t="s">
        <v>722</v>
      </c>
      <c r="P26" s="1724" t="s">
        <v>723</v>
      </c>
      <c r="Q26" s="1196" t="s">
        <v>727</v>
      </c>
      <c r="R26" s="1196" t="s">
        <v>1300</v>
      </c>
      <c r="S26" s="1196" t="s">
        <v>1302</v>
      </c>
      <c r="T26" s="1724" t="s">
        <v>724</v>
      </c>
      <c r="U26" s="1724" t="s">
        <v>725</v>
      </c>
      <c r="V26" s="1724" t="s">
        <v>727</v>
      </c>
      <c r="W26" s="1724" t="s">
        <v>726</v>
      </c>
      <c r="X26" s="1196" t="s">
        <v>1298</v>
      </c>
      <c r="Y26" s="1724" t="s">
        <v>726</v>
      </c>
      <c r="Z26" s="965" t="s">
        <v>721</v>
      </c>
      <c r="AA26" s="1230" t="s">
        <v>1307</v>
      </c>
      <c r="AB26" s="1230" t="s">
        <v>1308</v>
      </c>
      <c r="AC26" s="965" t="s">
        <v>721</v>
      </c>
      <c r="AD26" s="967" t="s">
        <v>725</v>
      </c>
      <c r="AE26" s="967" t="s">
        <v>728</v>
      </c>
      <c r="AF26" s="969" t="s">
        <v>722</v>
      </c>
      <c r="AG26" s="970" t="s">
        <v>720</v>
      </c>
      <c r="AH26" s="967" t="s">
        <v>1106</v>
      </c>
      <c r="AI26" s="967" t="s">
        <v>1107</v>
      </c>
      <c r="AJ26" s="967" t="s">
        <v>729</v>
      </c>
      <c r="AK26" s="967" t="s">
        <v>729</v>
      </c>
      <c r="AL26" s="1233"/>
      <c r="AM26" s="967" t="s">
        <v>1723</v>
      </c>
      <c r="AN26" s="967">
        <v>75</v>
      </c>
      <c r="AO26" s="967">
        <v>100</v>
      </c>
      <c r="AP26" s="967">
        <v>120</v>
      </c>
      <c r="AQ26" s="967">
        <v>150</v>
      </c>
      <c r="AR26" s="967">
        <v>200</v>
      </c>
      <c r="AS26" s="971" t="s">
        <v>1551</v>
      </c>
      <c r="AT26" s="972" t="s">
        <v>730</v>
      </c>
      <c r="AU26" s="967"/>
      <c r="AV26" s="973" t="s">
        <v>731</v>
      </c>
      <c r="AW26" s="1738"/>
      <c r="AX26" s="967">
        <v>75</v>
      </c>
      <c r="AY26" s="967">
        <v>90</v>
      </c>
      <c r="AZ26" s="967">
        <v>110</v>
      </c>
      <c r="BA26" s="967">
        <v>75</v>
      </c>
      <c r="BB26" s="967">
        <v>90</v>
      </c>
      <c r="BC26" s="967">
        <v>110</v>
      </c>
      <c r="BD26" s="967" t="s">
        <v>727</v>
      </c>
      <c r="BE26" s="967" t="s">
        <v>726</v>
      </c>
      <c r="BF26" s="967" t="s">
        <v>726</v>
      </c>
      <c r="BG26" s="968"/>
      <c r="BH26" s="968"/>
      <c r="BI26" s="1742"/>
      <c r="BJ26" s="974" t="s">
        <v>248</v>
      </c>
      <c r="BK26" s="974" t="s">
        <v>246</v>
      </c>
      <c r="BL26" s="974" t="s">
        <v>249</v>
      </c>
      <c r="BM26" s="974" t="s">
        <v>250</v>
      </c>
      <c r="BN26" s="974" t="s">
        <v>251</v>
      </c>
      <c r="BO26" s="974" t="s">
        <v>252</v>
      </c>
      <c r="BP26" s="974" t="s">
        <v>253</v>
      </c>
      <c r="BQ26" s="975" t="s">
        <v>778</v>
      </c>
      <c r="BR26" s="975" t="s">
        <v>289</v>
      </c>
      <c r="BS26" s="975" t="s">
        <v>288</v>
      </c>
      <c r="BT26" s="975" t="s">
        <v>292</v>
      </c>
      <c r="BU26" s="975" t="s">
        <v>290</v>
      </c>
      <c r="BV26" s="975" t="s">
        <v>289</v>
      </c>
      <c r="BW26" s="975" t="s">
        <v>288</v>
      </c>
      <c r="BX26" s="975" t="s">
        <v>292</v>
      </c>
      <c r="BY26" s="975" t="s">
        <v>290</v>
      </c>
      <c r="BZ26" s="975" t="s">
        <v>289</v>
      </c>
      <c r="CA26" s="975" t="s">
        <v>288</v>
      </c>
      <c r="CB26" s="975" t="s">
        <v>290</v>
      </c>
      <c r="CC26" s="975" t="s">
        <v>289</v>
      </c>
      <c r="CD26" s="975" t="s">
        <v>288</v>
      </c>
      <c r="CE26" s="1739" t="s">
        <v>291</v>
      </c>
      <c r="CF26" s="967" t="s">
        <v>298</v>
      </c>
      <c r="CG26" s="967" t="s">
        <v>299</v>
      </c>
      <c r="CH26" s="967" t="s">
        <v>300</v>
      </c>
      <c r="CI26" s="967" t="s">
        <v>301</v>
      </c>
      <c r="CJ26" s="967" t="s">
        <v>298</v>
      </c>
      <c r="CK26" s="967" t="s">
        <v>299</v>
      </c>
      <c r="CL26" s="967" t="s">
        <v>300</v>
      </c>
      <c r="CM26" s="967" t="s">
        <v>302</v>
      </c>
      <c r="CN26" s="967" t="s">
        <v>294</v>
      </c>
      <c r="CO26" s="967" t="s">
        <v>295</v>
      </c>
      <c r="CP26" s="967" t="s">
        <v>296</v>
      </c>
      <c r="CQ26" s="967" t="s">
        <v>294</v>
      </c>
      <c r="CR26" s="967" t="s">
        <v>295</v>
      </c>
      <c r="CS26" s="967" t="s">
        <v>296</v>
      </c>
      <c r="CT26" s="967" t="s">
        <v>297</v>
      </c>
      <c r="CU26" s="968"/>
      <c r="CV26" s="976" t="s">
        <v>92</v>
      </c>
      <c r="CW26" s="976" t="s">
        <v>93</v>
      </c>
      <c r="CX26" s="976" t="s">
        <v>92</v>
      </c>
      <c r="CY26" s="976" t="s">
        <v>93</v>
      </c>
      <c r="CZ26" s="976" t="s">
        <v>92</v>
      </c>
      <c r="DA26" s="976" t="s">
        <v>93</v>
      </c>
      <c r="DB26" s="976" t="s">
        <v>94</v>
      </c>
      <c r="DC26" s="976" t="s">
        <v>95</v>
      </c>
      <c r="DD26" s="977" t="s">
        <v>774</v>
      </c>
      <c r="DE26" s="977" t="s">
        <v>775</v>
      </c>
      <c r="DF26" s="977" t="s">
        <v>774</v>
      </c>
      <c r="DG26" s="976" t="s">
        <v>97</v>
      </c>
      <c r="DH26" s="976" t="s">
        <v>98</v>
      </c>
      <c r="DI26" s="976" t="s">
        <v>1432</v>
      </c>
      <c r="DJ26" s="968"/>
      <c r="DK26" s="967" t="s">
        <v>733</v>
      </c>
      <c r="DL26" s="967" t="s">
        <v>733</v>
      </c>
      <c r="DM26" s="1740" t="s">
        <v>732</v>
      </c>
      <c r="DN26" s="1741"/>
      <c r="DO26" s="967" t="s">
        <v>733</v>
      </c>
      <c r="DP26" s="967" t="s">
        <v>733</v>
      </c>
      <c r="DQ26" s="2756" t="s">
        <v>802</v>
      </c>
      <c r="DR26" s="2745"/>
      <c r="DS26" s="2745" t="s">
        <v>1422</v>
      </c>
      <c r="DT26" s="2745"/>
      <c r="DU26" s="2757" t="s">
        <v>803</v>
      </c>
      <c r="DV26" s="2757"/>
      <c r="DW26" s="2757" t="s">
        <v>804</v>
      </c>
      <c r="DX26" s="2757"/>
      <c r="DY26" s="2757" t="s">
        <v>806</v>
      </c>
      <c r="DZ26" s="2757"/>
      <c r="EA26" s="2746" t="s">
        <v>1394</v>
      </c>
      <c r="EB26" s="2746"/>
      <c r="EC26" s="2746"/>
      <c r="ED26" s="978"/>
      <c r="EE26" s="978"/>
      <c r="EF26" s="978"/>
    </row>
    <row r="27" spans="1:136" s="595" customFormat="1" ht="15.6" hidden="1" customHeight="1" outlineLevel="1">
      <c r="A27" s="2396" t="s">
        <v>231</v>
      </c>
      <c r="B27" s="880" t="s">
        <v>1052</v>
      </c>
      <c r="C27" s="1292">
        <v>0.64</v>
      </c>
      <c r="D27" s="2413">
        <f>D12*$C$25</f>
        <v>0</v>
      </c>
      <c r="E27" s="2401">
        <f t="shared" ref="E27:BP28" si="12">E12*$C$25</f>
        <v>0</v>
      </c>
      <c r="F27" s="2401">
        <f t="shared" si="12"/>
        <v>0</v>
      </c>
      <c r="G27" s="2401">
        <f t="shared" si="12"/>
        <v>0</v>
      </c>
      <c r="H27" s="2401">
        <f t="shared" si="12"/>
        <v>0</v>
      </c>
      <c r="I27" s="2401">
        <f t="shared" si="12"/>
        <v>0</v>
      </c>
      <c r="J27" s="2401">
        <f t="shared" si="12"/>
        <v>0</v>
      </c>
      <c r="K27" s="2401">
        <f t="shared" si="12"/>
        <v>0</v>
      </c>
      <c r="L27" s="2401">
        <f t="shared" si="12"/>
        <v>0</v>
      </c>
      <c r="M27" s="2413">
        <f t="shared" si="12"/>
        <v>292.5</v>
      </c>
      <c r="N27" s="2401">
        <f t="shared" si="12"/>
        <v>0</v>
      </c>
      <c r="O27" s="2401">
        <f t="shared" si="12"/>
        <v>0</v>
      </c>
      <c r="P27" s="2401">
        <f t="shared" si="12"/>
        <v>0</v>
      </c>
      <c r="Q27" s="2401">
        <f t="shared" si="12"/>
        <v>0</v>
      </c>
      <c r="R27" s="2401">
        <f t="shared" si="12"/>
        <v>0</v>
      </c>
      <c r="S27" s="2401">
        <f t="shared" si="12"/>
        <v>0</v>
      </c>
      <c r="T27" s="2401">
        <f t="shared" si="12"/>
        <v>0</v>
      </c>
      <c r="U27" s="2401">
        <f t="shared" si="12"/>
        <v>0</v>
      </c>
      <c r="V27" s="2401">
        <f t="shared" si="12"/>
        <v>0</v>
      </c>
      <c r="W27" s="2401">
        <f t="shared" si="12"/>
        <v>0</v>
      </c>
      <c r="X27" s="2401">
        <f t="shared" si="12"/>
        <v>0</v>
      </c>
      <c r="Y27" s="2401">
        <f t="shared" si="12"/>
        <v>0</v>
      </c>
      <c r="Z27" s="2401">
        <f t="shared" si="12"/>
        <v>0</v>
      </c>
      <c r="AA27" s="2401">
        <f t="shared" si="12"/>
        <v>0</v>
      </c>
      <c r="AB27" s="2401">
        <f t="shared" si="12"/>
        <v>0</v>
      </c>
      <c r="AC27" s="2401">
        <f t="shared" si="12"/>
        <v>0</v>
      </c>
      <c r="AD27" s="2401">
        <f t="shared" si="12"/>
        <v>0</v>
      </c>
      <c r="AE27" s="2401">
        <f t="shared" si="12"/>
        <v>0</v>
      </c>
      <c r="AF27" s="2401">
        <f t="shared" si="12"/>
        <v>0</v>
      </c>
      <c r="AG27" s="2401">
        <f t="shared" si="12"/>
        <v>0</v>
      </c>
      <c r="AH27" s="2401">
        <f t="shared" si="12"/>
        <v>0</v>
      </c>
      <c r="AI27" s="2401">
        <f t="shared" si="12"/>
        <v>0</v>
      </c>
      <c r="AJ27" s="2401">
        <f t="shared" si="12"/>
        <v>0</v>
      </c>
      <c r="AK27" s="2401">
        <f t="shared" si="12"/>
        <v>0</v>
      </c>
      <c r="AL27" s="2401">
        <f t="shared" si="12"/>
        <v>0</v>
      </c>
      <c r="AM27" s="2401">
        <f t="shared" si="12"/>
        <v>0</v>
      </c>
      <c r="AN27" s="2401">
        <f t="shared" si="12"/>
        <v>0</v>
      </c>
      <c r="AO27" s="2401">
        <f t="shared" si="12"/>
        <v>0</v>
      </c>
      <c r="AP27" s="2401">
        <f t="shared" si="12"/>
        <v>0</v>
      </c>
      <c r="AQ27" s="2401">
        <f t="shared" si="12"/>
        <v>0</v>
      </c>
      <c r="AR27" s="2401">
        <f t="shared" si="12"/>
        <v>0</v>
      </c>
      <c r="AS27" s="2401">
        <f t="shared" si="12"/>
        <v>0</v>
      </c>
      <c r="AT27" s="2401">
        <f t="shared" si="12"/>
        <v>0</v>
      </c>
      <c r="AU27" s="2401">
        <f t="shared" si="12"/>
        <v>0</v>
      </c>
      <c r="AV27" s="2401">
        <f t="shared" si="12"/>
        <v>0</v>
      </c>
      <c r="AW27" s="2401">
        <f t="shared" si="12"/>
        <v>0</v>
      </c>
      <c r="AX27" s="2401">
        <f t="shared" si="12"/>
        <v>0</v>
      </c>
      <c r="AY27" s="2401">
        <f t="shared" si="12"/>
        <v>0</v>
      </c>
      <c r="AZ27" s="2401">
        <f t="shared" si="12"/>
        <v>0</v>
      </c>
      <c r="BA27" s="2401">
        <f t="shared" si="12"/>
        <v>0</v>
      </c>
      <c r="BB27" s="2401">
        <f t="shared" si="12"/>
        <v>0</v>
      </c>
      <c r="BC27" s="2401">
        <f t="shared" si="12"/>
        <v>0</v>
      </c>
      <c r="BD27" s="2401">
        <f t="shared" si="12"/>
        <v>0</v>
      </c>
      <c r="BE27" s="2401">
        <f t="shared" si="12"/>
        <v>0</v>
      </c>
      <c r="BF27" s="2401">
        <f t="shared" si="12"/>
        <v>0</v>
      </c>
      <c r="BG27" s="2401">
        <f t="shared" si="12"/>
        <v>390</v>
      </c>
      <c r="BH27" s="2401">
        <f t="shared" si="12"/>
        <v>370.5</v>
      </c>
      <c r="BI27" s="2401">
        <f t="shared" si="12"/>
        <v>0</v>
      </c>
      <c r="BJ27" s="2401">
        <f t="shared" si="12"/>
        <v>0</v>
      </c>
      <c r="BK27" s="2401">
        <f t="shared" si="12"/>
        <v>0</v>
      </c>
      <c r="BL27" s="2401">
        <f t="shared" si="12"/>
        <v>0</v>
      </c>
      <c r="BM27" s="2401">
        <f t="shared" si="12"/>
        <v>0</v>
      </c>
      <c r="BN27" s="2401">
        <f t="shared" si="12"/>
        <v>0</v>
      </c>
      <c r="BO27" s="2401">
        <f t="shared" si="12"/>
        <v>0</v>
      </c>
      <c r="BP27" s="2401">
        <f t="shared" si="12"/>
        <v>0</v>
      </c>
      <c r="BQ27" s="2401">
        <f t="shared" ref="BQ27:BQ31" si="13">BQ12*$C$25</f>
        <v>0</v>
      </c>
      <c r="BR27" s="2401">
        <f t="shared" ref="BR27:EC27" si="14">BR12*$C$25</f>
        <v>0</v>
      </c>
      <c r="BS27" s="2401">
        <f t="shared" si="14"/>
        <v>0</v>
      </c>
      <c r="BT27" s="2401">
        <f t="shared" si="14"/>
        <v>0</v>
      </c>
      <c r="BU27" s="2401">
        <f t="shared" si="14"/>
        <v>0</v>
      </c>
      <c r="BV27" s="2401">
        <f t="shared" si="14"/>
        <v>0</v>
      </c>
      <c r="BW27" s="2401">
        <f t="shared" si="14"/>
        <v>0</v>
      </c>
      <c r="BX27" s="2401">
        <f t="shared" si="14"/>
        <v>0</v>
      </c>
      <c r="BY27" s="2401">
        <f t="shared" si="14"/>
        <v>0</v>
      </c>
      <c r="BZ27" s="2401">
        <f t="shared" si="14"/>
        <v>0</v>
      </c>
      <c r="CA27" s="2401">
        <f t="shared" si="14"/>
        <v>0</v>
      </c>
      <c r="CB27" s="2401">
        <f t="shared" si="14"/>
        <v>0</v>
      </c>
      <c r="CC27" s="2401">
        <f t="shared" si="14"/>
        <v>0</v>
      </c>
      <c r="CD27" s="2401">
        <f t="shared" si="14"/>
        <v>0</v>
      </c>
      <c r="CE27" s="2401">
        <f t="shared" si="14"/>
        <v>0</v>
      </c>
      <c r="CF27" s="2401">
        <f t="shared" si="14"/>
        <v>0</v>
      </c>
      <c r="CG27" s="2401">
        <f t="shared" si="14"/>
        <v>0</v>
      </c>
      <c r="CH27" s="2401">
        <f t="shared" si="14"/>
        <v>0</v>
      </c>
      <c r="CI27" s="2401">
        <f t="shared" si="14"/>
        <v>0</v>
      </c>
      <c r="CJ27" s="2401">
        <f t="shared" si="14"/>
        <v>0</v>
      </c>
      <c r="CK27" s="2401">
        <f t="shared" si="14"/>
        <v>0</v>
      </c>
      <c r="CL27" s="2401">
        <f t="shared" si="14"/>
        <v>0</v>
      </c>
      <c r="CM27" s="2401">
        <f t="shared" si="14"/>
        <v>0</v>
      </c>
      <c r="CN27" s="2401">
        <f t="shared" si="14"/>
        <v>0</v>
      </c>
      <c r="CO27" s="2401">
        <f t="shared" si="14"/>
        <v>0</v>
      </c>
      <c r="CP27" s="2401">
        <f t="shared" si="14"/>
        <v>0</v>
      </c>
      <c r="CQ27" s="2401">
        <f t="shared" si="14"/>
        <v>0</v>
      </c>
      <c r="CR27" s="2401">
        <f t="shared" si="14"/>
        <v>0</v>
      </c>
      <c r="CS27" s="2401">
        <f t="shared" si="14"/>
        <v>0</v>
      </c>
      <c r="CT27" s="2401">
        <f t="shared" si="14"/>
        <v>0</v>
      </c>
      <c r="CU27" s="2401">
        <f t="shared" si="14"/>
        <v>0</v>
      </c>
      <c r="CV27" s="2401">
        <f t="shared" si="14"/>
        <v>0</v>
      </c>
      <c r="CW27" s="2401">
        <f t="shared" si="14"/>
        <v>0</v>
      </c>
      <c r="CX27" s="2401">
        <f t="shared" si="14"/>
        <v>0</v>
      </c>
      <c r="CY27" s="2401">
        <f t="shared" si="14"/>
        <v>0</v>
      </c>
      <c r="CZ27" s="2401">
        <f t="shared" si="14"/>
        <v>0</v>
      </c>
      <c r="DA27" s="2401">
        <f t="shared" si="14"/>
        <v>0</v>
      </c>
      <c r="DB27" s="2401">
        <f t="shared" si="14"/>
        <v>0</v>
      </c>
      <c r="DC27" s="2401">
        <f t="shared" si="14"/>
        <v>0</v>
      </c>
      <c r="DD27" s="2401">
        <f t="shared" si="14"/>
        <v>0</v>
      </c>
      <c r="DE27" s="2401">
        <f t="shared" si="14"/>
        <v>0</v>
      </c>
      <c r="DF27" s="2401">
        <f t="shared" si="14"/>
        <v>0</v>
      </c>
      <c r="DG27" s="2401">
        <f t="shared" si="14"/>
        <v>0</v>
      </c>
      <c r="DH27" s="2401">
        <f t="shared" si="14"/>
        <v>0</v>
      </c>
      <c r="DI27" s="2401">
        <f t="shared" si="14"/>
        <v>0</v>
      </c>
      <c r="DJ27" s="2401">
        <f t="shared" si="14"/>
        <v>0</v>
      </c>
      <c r="DK27" s="2401">
        <f t="shared" si="14"/>
        <v>0</v>
      </c>
      <c r="DL27" s="2401">
        <f t="shared" si="14"/>
        <v>0</v>
      </c>
      <c r="DM27" s="2401">
        <f t="shared" si="14"/>
        <v>0</v>
      </c>
      <c r="DN27" s="2401">
        <f t="shared" si="14"/>
        <v>0</v>
      </c>
      <c r="DO27" s="2401">
        <f t="shared" si="14"/>
        <v>0</v>
      </c>
      <c r="DP27" s="2401">
        <f t="shared" si="14"/>
        <v>0</v>
      </c>
      <c r="DQ27" s="2401">
        <f t="shared" si="14"/>
        <v>0</v>
      </c>
      <c r="DR27" s="2401">
        <f t="shared" si="14"/>
        <v>0</v>
      </c>
      <c r="DS27" s="2401">
        <f t="shared" si="14"/>
        <v>0</v>
      </c>
      <c r="DT27" s="2401">
        <f t="shared" si="14"/>
        <v>0</v>
      </c>
      <c r="DU27" s="2401">
        <f t="shared" si="14"/>
        <v>0</v>
      </c>
      <c r="DV27" s="2401">
        <f t="shared" si="14"/>
        <v>0</v>
      </c>
      <c r="DW27" s="2401">
        <f t="shared" si="14"/>
        <v>0</v>
      </c>
      <c r="DX27" s="2401">
        <f t="shared" si="14"/>
        <v>0</v>
      </c>
      <c r="DY27" s="2401">
        <f t="shared" si="14"/>
        <v>0</v>
      </c>
      <c r="DZ27" s="2401">
        <f t="shared" si="14"/>
        <v>0</v>
      </c>
      <c r="EA27" s="2401">
        <f t="shared" si="14"/>
        <v>0</v>
      </c>
      <c r="EB27" s="2401">
        <f t="shared" si="14"/>
        <v>0</v>
      </c>
      <c r="EC27" s="2401">
        <f t="shared" si="14"/>
        <v>0</v>
      </c>
      <c r="ED27" s="2401">
        <f t="shared" ref="ED27" si="15">ED12*$C$25</f>
        <v>0</v>
      </c>
    </row>
    <row r="28" spans="1:136" s="595" customFormat="1" ht="15.75" hidden="1" customHeight="1" outlineLevel="1">
      <c r="A28" s="2693" t="s">
        <v>161</v>
      </c>
      <c r="B28" s="880" t="s">
        <v>256</v>
      </c>
      <c r="C28" s="1292">
        <v>0.65</v>
      </c>
      <c r="D28" s="2413">
        <f t="shared" ref="D28:S34" si="16">D13*$C$25</f>
        <v>663</v>
      </c>
      <c r="E28" s="2401">
        <f t="shared" si="16"/>
        <v>1326</v>
      </c>
      <c r="F28" s="2401">
        <f t="shared" si="16"/>
        <v>663</v>
      </c>
      <c r="G28" s="2401">
        <f t="shared" si="16"/>
        <v>0</v>
      </c>
      <c r="H28" s="2401">
        <f t="shared" si="16"/>
        <v>0</v>
      </c>
      <c r="I28" s="2401">
        <f t="shared" si="16"/>
        <v>663</v>
      </c>
      <c r="J28" s="2401">
        <f t="shared" si="16"/>
        <v>1345.5</v>
      </c>
      <c r="K28" s="2401">
        <f t="shared" si="16"/>
        <v>1228.5</v>
      </c>
      <c r="L28" s="2401">
        <f t="shared" si="16"/>
        <v>1131</v>
      </c>
      <c r="M28" s="2413">
        <f t="shared" si="16"/>
        <v>370.5</v>
      </c>
      <c r="N28" s="2401">
        <f t="shared" si="16"/>
        <v>429</v>
      </c>
      <c r="O28" s="2401">
        <f t="shared" si="16"/>
        <v>429</v>
      </c>
      <c r="P28" s="2401">
        <f t="shared" si="16"/>
        <v>468</v>
      </c>
      <c r="Q28" s="2401">
        <f t="shared" si="16"/>
        <v>585</v>
      </c>
      <c r="R28" s="2401">
        <f t="shared" si="16"/>
        <v>0</v>
      </c>
      <c r="S28" s="2401">
        <f t="shared" si="16"/>
        <v>0</v>
      </c>
      <c r="T28" s="2401">
        <f t="shared" si="12"/>
        <v>0</v>
      </c>
      <c r="U28" s="2401">
        <f t="shared" si="12"/>
        <v>0</v>
      </c>
      <c r="V28" s="2401">
        <f t="shared" si="12"/>
        <v>0</v>
      </c>
      <c r="W28" s="2401">
        <f t="shared" si="12"/>
        <v>0</v>
      </c>
      <c r="X28" s="2401">
        <f t="shared" si="12"/>
        <v>0</v>
      </c>
      <c r="Y28" s="2401">
        <f t="shared" si="12"/>
        <v>0</v>
      </c>
      <c r="Z28" s="2401">
        <f t="shared" si="12"/>
        <v>390</v>
      </c>
      <c r="AA28" s="2401">
        <f t="shared" si="12"/>
        <v>624</v>
      </c>
      <c r="AB28" s="2401">
        <f t="shared" si="12"/>
        <v>0</v>
      </c>
      <c r="AC28" s="2401">
        <f t="shared" si="12"/>
        <v>390</v>
      </c>
      <c r="AD28" s="2401">
        <f t="shared" si="12"/>
        <v>0</v>
      </c>
      <c r="AE28" s="2401">
        <f t="shared" si="12"/>
        <v>0</v>
      </c>
      <c r="AF28" s="2401">
        <f t="shared" si="12"/>
        <v>0</v>
      </c>
      <c r="AG28" s="2401">
        <f t="shared" si="12"/>
        <v>273</v>
      </c>
      <c r="AH28" s="2401">
        <f t="shared" si="12"/>
        <v>370.5</v>
      </c>
      <c r="AI28" s="2401">
        <f t="shared" si="12"/>
        <v>565.5</v>
      </c>
      <c r="AJ28" s="2401">
        <f t="shared" si="12"/>
        <v>39</v>
      </c>
      <c r="AK28" s="2401">
        <f t="shared" si="12"/>
        <v>66.3</v>
      </c>
      <c r="AL28" s="2401">
        <f t="shared" si="12"/>
        <v>565.5</v>
      </c>
      <c r="AM28" s="2401">
        <f t="shared" si="12"/>
        <v>0</v>
      </c>
      <c r="AN28" s="2401">
        <f t="shared" si="12"/>
        <v>273</v>
      </c>
      <c r="AO28" s="2401">
        <f t="shared" si="12"/>
        <v>370.5</v>
      </c>
      <c r="AP28" s="2401">
        <f t="shared" si="12"/>
        <v>448.5</v>
      </c>
      <c r="AQ28" s="2401">
        <f t="shared" si="12"/>
        <v>487.5</v>
      </c>
      <c r="AR28" s="2401">
        <f t="shared" si="12"/>
        <v>624</v>
      </c>
      <c r="AS28" s="2401">
        <f t="shared" si="12"/>
        <v>66.3</v>
      </c>
      <c r="AT28" s="2401">
        <f t="shared" si="12"/>
        <v>179.4</v>
      </c>
      <c r="AU28" s="2401">
        <f t="shared" si="12"/>
        <v>234</v>
      </c>
      <c r="AV28" s="2401">
        <f t="shared" si="12"/>
        <v>565.5</v>
      </c>
      <c r="AW28" s="2401">
        <f t="shared" si="12"/>
        <v>156</v>
      </c>
      <c r="AX28" s="2401">
        <f t="shared" si="12"/>
        <v>312</v>
      </c>
      <c r="AY28" s="2401">
        <f t="shared" si="12"/>
        <v>409.5</v>
      </c>
      <c r="AZ28" s="2401">
        <f t="shared" si="12"/>
        <v>448.5</v>
      </c>
      <c r="BA28" s="2401">
        <f t="shared" si="12"/>
        <v>331.5</v>
      </c>
      <c r="BB28" s="2401">
        <f t="shared" si="12"/>
        <v>429</v>
      </c>
      <c r="BC28" s="2401">
        <f t="shared" si="12"/>
        <v>468</v>
      </c>
      <c r="BD28" s="2401">
        <f t="shared" si="12"/>
        <v>0</v>
      </c>
      <c r="BE28" s="2401">
        <f t="shared" si="12"/>
        <v>0</v>
      </c>
      <c r="BF28" s="2401">
        <f t="shared" si="12"/>
        <v>0</v>
      </c>
      <c r="BG28" s="2401">
        <f t="shared" si="12"/>
        <v>0</v>
      </c>
      <c r="BH28" s="2401">
        <f t="shared" si="12"/>
        <v>0</v>
      </c>
      <c r="BI28" s="2401">
        <f t="shared" si="12"/>
        <v>429</v>
      </c>
      <c r="BJ28" s="2401">
        <f t="shared" si="12"/>
        <v>624</v>
      </c>
      <c r="BK28" s="2401">
        <f t="shared" si="12"/>
        <v>721.5</v>
      </c>
      <c r="BL28" s="2401">
        <f t="shared" si="12"/>
        <v>1014</v>
      </c>
      <c r="BM28" s="2401">
        <f t="shared" si="12"/>
        <v>0</v>
      </c>
      <c r="BN28" s="2401">
        <f t="shared" si="12"/>
        <v>0</v>
      </c>
      <c r="BO28" s="2401">
        <f t="shared" si="12"/>
        <v>0</v>
      </c>
      <c r="BP28" s="2401">
        <f t="shared" si="12"/>
        <v>0</v>
      </c>
      <c r="BQ28" s="2401">
        <f t="shared" si="13"/>
        <v>0</v>
      </c>
      <c r="BR28" s="2401">
        <f t="shared" ref="BR28:EC28" si="17">BR13*$C$25</f>
        <v>0</v>
      </c>
      <c r="BS28" s="2401">
        <f t="shared" si="17"/>
        <v>0</v>
      </c>
      <c r="BT28" s="2401">
        <f t="shared" si="17"/>
        <v>0</v>
      </c>
      <c r="BU28" s="2401">
        <f t="shared" si="17"/>
        <v>0</v>
      </c>
      <c r="BV28" s="2401">
        <f t="shared" si="17"/>
        <v>0</v>
      </c>
      <c r="BW28" s="2401">
        <f t="shared" si="17"/>
        <v>0</v>
      </c>
      <c r="BX28" s="2401">
        <f t="shared" si="17"/>
        <v>0</v>
      </c>
      <c r="BY28" s="2401">
        <f t="shared" si="17"/>
        <v>0</v>
      </c>
      <c r="BZ28" s="2401">
        <f t="shared" si="17"/>
        <v>0</v>
      </c>
      <c r="CA28" s="2401">
        <f t="shared" si="17"/>
        <v>0</v>
      </c>
      <c r="CB28" s="2401">
        <f t="shared" si="17"/>
        <v>0</v>
      </c>
      <c r="CC28" s="2401">
        <f t="shared" si="17"/>
        <v>0</v>
      </c>
      <c r="CD28" s="2401">
        <f t="shared" si="17"/>
        <v>0</v>
      </c>
      <c r="CE28" s="2401">
        <f t="shared" si="17"/>
        <v>0</v>
      </c>
      <c r="CF28" s="2401">
        <f t="shared" si="17"/>
        <v>0</v>
      </c>
      <c r="CG28" s="2401">
        <f t="shared" si="17"/>
        <v>0</v>
      </c>
      <c r="CH28" s="2401">
        <f t="shared" si="17"/>
        <v>0</v>
      </c>
      <c r="CI28" s="2401">
        <f t="shared" si="17"/>
        <v>0</v>
      </c>
      <c r="CJ28" s="2401">
        <f t="shared" si="17"/>
        <v>0</v>
      </c>
      <c r="CK28" s="2401">
        <f t="shared" si="17"/>
        <v>0</v>
      </c>
      <c r="CL28" s="2401">
        <f t="shared" si="17"/>
        <v>0</v>
      </c>
      <c r="CM28" s="2401">
        <f t="shared" si="17"/>
        <v>0</v>
      </c>
      <c r="CN28" s="2401">
        <f t="shared" si="17"/>
        <v>0</v>
      </c>
      <c r="CO28" s="2401">
        <f t="shared" si="17"/>
        <v>0</v>
      </c>
      <c r="CP28" s="2401">
        <f t="shared" si="17"/>
        <v>0</v>
      </c>
      <c r="CQ28" s="2401">
        <f t="shared" si="17"/>
        <v>0</v>
      </c>
      <c r="CR28" s="2401">
        <f t="shared" si="17"/>
        <v>0</v>
      </c>
      <c r="CS28" s="2401">
        <f t="shared" si="17"/>
        <v>0</v>
      </c>
      <c r="CT28" s="2401">
        <f t="shared" si="17"/>
        <v>0</v>
      </c>
      <c r="CU28" s="2401">
        <f t="shared" si="17"/>
        <v>0</v>
      </c>
      <c r="CV28" s="2401">
        <f t="shared" si="17"/>
        <v>0</v>
      </c>
      <c r="CW28" s="2401">
        <f t="shared" si="17"/>
        <v>0</v>
      </c>
      <c r="CX28" s="2401">
        <f t="shared" si="17"/>
        <v>0</v>
      </c>
      <c r="CY28" s="2401">
        <f t="shared" si="17"/>
        <v>0</v>
      </c>
      <c r="CZ28" s="2401">
        <f t="shared" si="17"/>
        <v>0</v>
      </c>
      <c r="DA28" s="2401">
        <f t="shared" si="17"/>
        <v>0</v>
      </c>
      <c r="DB28" s="2401">
        <f t="shared" si="17"/>
        <v>0</v>
      </c>
      <c r="DC28" s="2401">
        <f t="shared" si="17"/>
        <v>0</v>
      </c>
      <c r="DD28" s="2401">
        <f t="shared" si="17"/>
        <v>0</v>
      </c>
      <c r="DE28" s="2401">
        <f t="shared" si="17"/>
        <v>0</v>
      </c>
      <c r="DF28" s="2401">
        <f t="shared" si="17"/>
        <v>0</v>
      </c>
      <c r="DG28" s="2401">
        <f t="shared" si="17"/>
        <v>0</v>
      </c>
      <c r="DH28" s="2401">
        <f t="shared" si="17"/>
        <v>0</v>
      </c>
      <c r="DI28" s="2401">
        <f t="shared" si="17"/>
        <v>0</v>
      </c>
      <c r="DJ28" s="2401">
        <f t="shared" si="17"/>
        <v>0</v>
      </c>
      <c r="DK28" s="2401">
        <f t="shared" si="17"/>
        <v>3373.5</v>
      </c>
      <c r="DL28" s="2401">
        <f t="shared" si="17"/>
        <v>0</v>
      </c>
      <c r="DM28" s="2401">
        <f t="shared" si="17"/>
        <v>0</v>
      </c>
      <c r="DN28" s="2401">
        <f t="shared" si="17"/>
        <v>0</v>
      </c>
      <c r="DO28" s="2401">
        <f t="shared" si="17"/>
        <v>0</v>
      </c>
      <c r="DP28" s="2401">
        <f t="shared" si="17"/>
        <v>0</v>
      </c>
      <c r="DQ28" s="2401">
        <f t="shared" si="17"/>
        <v>0</v>
      </c>
      <c r="DR28" s="2401">
        <f t="shared" si="17"/>
        <v>0</v>
      </c>
      <c r="DS28" s="2401">
        <f t="shared" si="17"/>
        <v>0</v>
      </c>
      <c r="DT28" s="2401">
        <f t="shared" si="17"/>
        <v>0</v>
      </c>
      <c r="DU28" s="2401">
        <f t="shared" si="17"/>
        <v>0</v>
      </c>
      <c r="DV28" s="2401">
        <f t="shared" si="17"/>
        <v>0</v>
      </c>
      <c r="DW28" s="2401">
        <f t="shared" si="17"/>
        <v>0</v>
      </c>
      <c r="DX28" s="2401">
        <f t="shared" si="17"/>
        <v>0</v>
      </c>
      <c r="DY28" s="2401">
        <f t="shared" si="17"/>
        <v>0</v>
      </c>
      <c r="DZ28" s="2401">
        <f t="shared" si="17"/>
        <v>0</v>
      </c>
      <c r="EA28" s="2401">
        <f t="shared" si="17"/>
        <v>0</v>
      </c>
      <c r="EB28" s="2401">
        <f t="shared" si="17"/>
        <v>0</v>
      </c>
      <c r="EC28" s="2401">
        <f t="shared" si="17"/>
        <v>0</v>
      </c>
      <c r="ED28" s="2401">
        <f t="shared" ref="ED28" si="18">ED13*$C$25</f>
        <v>696.15</v>
      </c>
    </row>
    <row r="29" spans="1:136" s="595" customFormat="1" ht="15.75" hidden="1" customHeight="1" outlineLevel="1">
      <c r="A29" s="2694"/>
      <c r="B29" s="1303" t="s">
        <v>1397</v>
      </c>
      <c r="C29" s="1292">
        <v>0.77</v>
      </c>
      <c r="D29" s="2413">
        <f t="shared" si="16"/>
        <v>780</v>
      </c>
      <c r="E29" s="2401">
        <f t="shared" ref="E29:BP32" si="19">E14*$C$25</f>
        <v>1560</v>
      </c>
      <c r="F29" s="2401">
        <f t="shared" si="19"/>
        <v>780</v>
      </c>
      <c r="G29" s="2401">
        <f t="shared" si="19"/>
        <v>0</v>
      </c>
      <c r="H29" s="2401">
        <f t="shared" si="19"/>
        <v>0</v>
      </c>
      <c r="I29" s="2401">
        <f t="shared" si="19"/>
        <v>780</v>
      </c>
      <c r="J29" s="2401">
        <f t="shared" si="19"/>
        <v>1599</v>
      </c>
      <c r="K29" s="2401">
        <f t="shared" si="19"/>
        <v>1443</v>
      </c>
      <c r="L29" s="2401">
        <f t="shared" si="19"/>
        <v>1326</v>
      </c>
      <c r="M29" s="2413">
        <f t="shared" si="19"/>
        <v>429</v>
      </c>
      <c r="N29" s="2401">
        <f t="shared" si="19"/>
        <v>507</v>
      </c>
      <c r="O29" s="2401">
        <f t="shared" si="19"/>
        <v>507</v>
      </c>
      <c r="P29" s="2401">
        <f t="shared" si="19"/>
        <v>546</v>
      </c>
      <c r="Q29" s="2401">
        <f t="shared" si="19"/>
        <v>682.5</v>
      </c>
      <c r="R29" s="2401">
        <f t="shared" si="19"/>
        <v>0</v>
      </c>
      <c r="S29" s="2401">
        <f t="shared" si="19"/>
        <v>0</v>
      </c>
      <c r="T29" s="2401">
        <f t="shared" si="19"/>
        <v>0</v>
      </c>
      <c r="U29" s="2401">
        <f t="shared" si="19"/>
        <v>0</v>
      </c>
      <c r="V29" s="2401">
        <f t="shared" si="19"/>
        <v>0</v>
      </c>
      <c r="W29" s="2401">
        <f t="shared" si="19"/>
        <v>0</v>
      </c>
      <c r="X29" s="2401">
        <f t="shared" si="19"/>
        <v>0</v>
      </c>
      <c r="Y29" s="2401">
        <f t="shared" si="19"/>
        <v>0</v>
      </c>
      <c r="Z29" s="2401">
        <f t="shared" si="19"/>
        <v>468</v>
      </c>
      <c r="AA29" s="2401">
        <f t="shared" si="19"/>
        <v>721.5</v>
      </c>
      <c r="AB29" s="2401">
        <f t="shared" si="19"/>
        <v>0</v>
      </c>
      <c r="AC29" s="2401">
        <f t="shared" si="19"/>
        <v>468</v>
      </c>
      <c r="AD29" s="2401">
        <f t="shared" si="19"/>
        <v>0</v>
      </c>
      <c r="AE29" s="2401">
        <f t="shared" si="19"/>
        <v>0</v>
      </c>
      <c r="AF29" s="2401">
        <f t="shared" si="19"/>
        <v>0</v>
      </c>
      <c r="AG29" s="2401">
        <f t="shared" si="19"/>
        <v>0</v>
      </c>
      <c r="AH29" s="2401">
        <f t="shared" si="19"/>
        <v>429</v>
      </c>
      <c r="AI29" s="2401">
        <f t="shared" si="19"/>
        <v>702</v>
      </c>
      <c r="AJ29" s="2401">
        <f t="shared" si="19"/>
        <v>42.9</v>
      </c>
      <c r="AK29" s="2401">
        <f t="shared" si="19"/>
        <v>81.900000000000006</v>
      </c>
      <c r="AL29" s="2401">
        <f t="shared" si="19"/>
        <v>682.5</v>
      </c>
      <c r="AM29" s="2401">
        <f t="shared" si="19"/>
        <v>0</v>
      </c>
      <c r="AN29" s="2401">
        <f t="shared" si="19"/>
        <v>0</v>
      </c>
      <c r="AO29" s="2401">
        <f t="shared" si="19"/>
        <v>0</v>
      </c>
      <c r="AP29" s="2401">
        <f t="shared" si="19"/>
        <v>0</v>
      </c>
      <c r="AQ29" s="2401">
        <f t="shared" si="19"/>
        <v>0</v>
      </c>
      <c r="AR29" s="2401">
        <f t="shared" si="19"/>
        <v>0</v>
      </c>
      <c r="AS29" s="2401">
        <f t="shared" si="19"/>
        <v>66.3</v>
      </c>
      <c r="AT29" s="2401">
        <f t="shared" si="19"/>
        <v>273</v>
      </c>
      <c r="AU29" s="2401">
        <f t="shared" si="19"/>
        <v>273</v>
      </c>
      <c r="AV29" s="2401">
        <f t="shared" si="19"/>
        <v>682.5</v>
      </c>
      <c r="AW29" s="2401">
        <f t="shared" si="19"/>
        <v>175.5</v>
      </c>
      <c r="AX29" s="2401">
        <f t="shared" si="19"/>
        <v>370.5</v>
      </c>
      <c r="AY29" s="2401">
        <f t="shared" si="19"/>
        <v>487.5</v>
      </c>
      <c r="AZ29" s="2401">
        <f t="shared" si="19"/>
        <v>526.5</v>
      </c>
      <c r="BA29" s="2401">
        <f t="shared" si="19"/>
        <v>390</v>
      </c>
      <c r="BB29" s="2401">
        <f t="shared" si="19"/>
        <v>507</v>
      </c>
      <c r="BC29" s="2401">
        <f t="shared" si="19"/>
        <v>546</v>
      </c>
      <c r="BD29" s="2401">
        <f t="shared" si="19"/>
        <v>0</v>
      </c>
      <c r="BE29" s="2401">
        <f t="shared" si="19"/>
        <v>0</v>
      </c>
      <c r="BF29" s="2401">
        <f t="shared" si="19"/>
        <v>0</v>
      </c>
      <c r="BG29" s="2401">
        <f t="shared" si="19"/>
        <v>0</v>
      </c>
      <c r="BH29" s="2401">
        <f t="shared" si="19"/>
        <v>0</v>
      </c>
      <c r="BI29" s="2401">
        <f t="shared" si="19"/>
        <v>429</v>
      </c>
      <c r="BJ29" s="2401">
        <f t="shared" si="19"/>
        <v>741</v>
      </c>
      <c r="BK29" s="2401">
        <f t="shared" si="19"/>
        <v>858</v>
      </c>
      <c r="BL29" s="2401">
        <f t="shared" si="19"/>
        <v>1209</v>
      </c>
      <c r="BM29" s="2401">
        <f t="shared" si="19"/>
        <v>0</v>
      </c>
      <c r="BN29" s="2401">
        <f t="shared" si="19"/>
        <v>0</v>
      </c>
      <c r="BO29" s="2401">
        <f t="shared" si="19"/>
        <v>0</v>
      </c>
      <c r="BP29" s="2401">
        <f t="shared" si="19"/>
        <v>0</v>
      </c>
      <c r="BQ29" s="2401">
        <f t="shared" si="13"/>
        <v>0</v>
      </c>
      <c r="BR29" s="2401">
        <f t="shared" ref="BR29:EC29" si="20">BR14*$C$25</f>
        <v>0</v>
      </c>
      <c r="BS29" s="2401">
        <f t="shared" si="20"/>
        <v>0</v>
      </c>
      <c r="BT29" s="2401">
        <f t="shared" si="20"/>
        <v>0</v>
      </c>
      <c r="BU29" s="2401">
        <f t="shared" si="20"/>
        <v>0</v>
      </c>
      <c r="BV29" s="2401">
        <f t="shared" si="20"/>
        <v>0</v>
      </c>
      <c r="BW29" s="2401">
        <f t="shared" si="20"/>
        <v>0</v>
      </c>
      <c r="BX29" s="2401">
        <f t="shared" si="20"/>
        <v>0</v>
      </c>
      <c r="BY29" s="2401">
        <f t="shared" si="20"/>
        <v>0</v>
      </c>
      <c r="BZ29" s="2401">
        <f t="shared" si="20"/>
        <v>0</v>
      </c>
      <c r="CA29" s="2401">
        <f t="shared" si="20"/>
        <v>0</v>
      </c>
      <c r="CB29" s="2401">
        <f t="shared" si="20"/>
        <v>0</v>
      </c>
      <c r="CC29" s="2401">
        <f t="shared" si="20"/>
        <v>0</v>
      </c>
      <c r="CD29" s="2401">
        <f t="shared" si="20"/>
        <v>0</v>
      </c>
      <c r="CE29" s="2401">
        <f t="shared" si="20"/>
        <v>0</v>
      </c>
      <c r="CF29" s="2401">
        <f t="shared" si="20"/>
        <v>0</v>
      </c>
      <c r="CG29" s="2401">
        <f t="shared" si="20"/>
        <v>0</v>
      </c>
      <c r="CH29" s="2401">
        <f t="shared" si="20"/>
        <v>0</v>
      </c>
      <c r="CI29" s="2401">
        <f t="shared" si="20"/>
        <v>0</v>
      </c>
      <c r="CJ29" s="2401">
        <f t="shared" si="20"/>
        <v>0</v>
      </c>
      <c r="CK29" s="2401">
        <f t="shared" si="20"/>
        <v>0</v>
      </c>
      <c r="CL29" s="2401">
        <f t="shared" si="20"/>
        <v>0</v>
      </c>
      <c r="CM29" s="2401">
        <f t="shared" si="20"/>
        <v>0</v>
      </c>
      <c r="CN29" s="2401">
        <f t="shared" si="20"/>
        <v>0</v>
      </c>
      <c r="CO29" s="2401">
        <f t="shared" si="20"/>
        <v>0</v>
      </c>
      <c r="CP29" s="2401">
        <f t="shared" si="20"/>
        <v>0</v>
      </c>
      <c r="CQ29" s="2401">
        <f t="shared" si="20"/>
        <v>0</v>
      </c>
      <c r="CR29" s="2401">
        <f t="shared" si="20"/>
        <v>0</v>
      </c>
      <c r="CS29" s="2401">
        <f t="shared" si="20"/>
        <v>0</v>
      </c>
      <c r="CT29" s="2401">
        <f t="shared" si="20"/>
        <v>0</v>
      </c>
      <c r="CU29" s="2401">
        <f t="shared" si="20"/>
        <v>0</v>
      </c>
      <c r="CV29" s="2401">
        <f t="shared" si="20"/>
        <v>0</v>
      </c>
      <c r="CW29" s="2401">
        <f t="shared" si="20"/>
        <v>0</v>
      </c>
      <c r="CX29" s="2401">
        <f t="shared" si="20"/>
        <v>0</v>
      </c>
      <c r="CY29" s="2401">
        <f t="shared" si="20"/>
        <v>0</v>
      </c>
      <c r="CZ29" s="2401">
        <f t="shared" si="20"/>
        <v>0</v>
      </c>
      <c r="DA29" s="2401">
        <f t="shared" si="20"/>
        <v>0</v>
      </c>
      <c r="DB29" s="2401">
        <f t="shared" si="20"/>
        <v>0</v>
      </c>
      <c r="DC29" s="2401">
        <f t="shared" si="20"/>
        <v>0</v>
      </c>
      <c r="DD29" s="2401">
        <f t="shared" si="20"/>
        <v>0</v>
      </c>
      <c r="DE29" s="2401">
        <f t="shared" si="20"/>
        <v>0</v>
      </c>
      <c r="DF29" s="2401">
        <f t="shared" si="20"/>
        <v>0</v>
      </c>
      <c r="DG29" s="2401">
        <f t="shared" si="20"/>
        <v>0</v>
      </c>
      <c r="DH29" s="2401">
        <f t="shared" si="20"/>
        <v>0</v>
      </c>
      <c r="DI29" s="2401">
        <f t="shared" si="20"/>
        <v>0</v>
      </c>
      <c r="DJ29" s="2401">
        <f t="shared" si="20"/>
        <v>0</v>
      </c>
      <c r="DK29" s="2401">
        <f t="shared" si="20"/>
        <v>3217.5</v>
      </c>
      <c r="DL29" s="2401">
        <f t="shared" si="20"/>
        <v>0</v>
      </c>
      <c r="DM29" s="2401">
        <f t="shared" si="20"/>
        <v>0</v>
      </c>
      <c r="DN29" s="2401">
        <f t="shared" si="20"/>
        <v>0</v>
      </c>
      <c r="DO29" s="2401">
        <f t="shared" si="20"/>
        <v>0</v>
      </c>
      <c r="DP29" s="2401">
        <f t="shared" si="20"/>
        <v>0</v>
      </c>
      <c r="DQ29" s="2401">
        <f t="shared" si="20"/>
        <v>0</v>
      </c>
      <c r="DR29" s="2401">
        <f t="shared" si="20"/>
        <v>0</v>
      </c>
      <c r="DS29" s="2401">
        <f t="shared" si="20"/>
        <v>0</v>
      </c>
      <c r="DT29" s="2401">
        <f t="shared" si="20"/>
        <v>0</v>
      </c>
      <c r="DU29" s="2401">
        <f t="shared" si="20"/>
        <v>0</v>
      </c>
      <c r="DV29" s="2401">
        <f t="shared" si="20"/>
        <v>0</v>
      </c>
      <c r="DW29" s="2401">
        <f t="shared" si="20"/>
        <v>0</v>
      </c>
      <c r="DX29" s="2401">
        <f t="shared" si="20"/>
        <v>0</v>
      </c>
      <c r="DY29" s="2401">
        <f t="shared" si="20"/>
        <v>0</v>
      </c>
      <c r="DZ29" s="2401">
        <f t="shared" si="20"/>
        <v>0</v>
      </c>
      <c r="EA29" s="2401">
        <f t="shared" si="20"/>
        <v>0</v>
      </c>
      <c r="EB29" s="2401">
        <f t="shared" si="20"/>
        <v>0</v>
      </c>
      <c r="EC29" s="2401">
        <f t="shared" si="20"/>
        <v>0</v>
      </c>
      <c r="ED29" s="2401">
        <f t="shared" ref="ED29" si="21">ED14*$C$25</f>
        <v>0</v>
      </c>
    </row>
    <row r="30" spans="1:136" s="1869" customFormat="1" ht="15.75" hidden="1" outlineLevel="1">
      <c r="A30" s="1870" t="s">
        <v>28</v>
      </c>
      <c r="B30" s="1871" t="s">
        <v>207</v>
      </c>
      <c r="C30" s="1872">
        <v>1</v>
      </c>
      <c r="D30" s="2413">
        <f t="shared" si="16"/>
        <v>1006.2</v>
      </c>
      <c r="E30" s="2401">
        <f t="shared" si="19"/>
        <v>2012.4</v>
      </c>
      <c r="F30" s="2401">
        <f t="shared" si="19"/>
        <v>1006.2</v>
      </c>
      <c r="G30" s="2401">
        <f t="shared" si="19"/>
        <v>1107.6000000000001</v>
      </c>
      <c r="H30" s="2401">
        <f t="shared" si="19"/>
        <v>1006.2</v>
      </c>
      <c r="I30" s="2401">
        <f t="shared" si="19"/>
        <v>1006.2</v>
      </c>
      <c r="J30" s="2401">
        <f t="shared" si="19"/>
        <v>2055.3000000000002</v>
      </c>
      <c r="K30" s="2401">
        <f t="shared" si="19"/>
        <v>1864.2</v>
      </c>
      <c r="L30" s="2401">
        <f t="shared" si="19"/>
        <v>1712.1000000000001</v>
      </c>
      <c r="M30" s="2413">
        <f t="shared" si="19"/>
        <v>553.80000000000007</v>
      </c>
      <c r="N30" s="2401">
        <f t="shared" si="19"/>
        <v>639.6</v>
      </c>
      <c r="O30" s="2401">
        <f t="shared" si="19"/>
        <v>639.6</v>
      </c>
      <c r="P30" s="2401">
        <f t="shared" si="19"/>
        <v>705.9</v>
      </c>
      <c r="Q30" s="2401">
        <f t="shared" si="19"/>
        <v>885.30000000000007</v>
      </c>
      <c r="R30" s="2401">
        <f t="shared" si="19"/>
        <v>780</v>
      </c>
      <c r="S30" s="2401">
        <f t="shared" si="19"/>
        <v>897</v>
      </c>
      <c r="T30" s="2401">
        <f t="shared" si="19"/>
        <v>975</v>
      </c>
      <c r="U30" s="2401">
        <f t="shared" si="19"/>
        <v>986.7</v>
      </c>
      <c r="V30" s="2401">
        <f t="shared" si="19"/>
        <v>1170</v>
      </c>
      <c r="W30" s="2401">
        <f t="shared" si="19"/>
        <v>1251.9000000000001</v>
      </c>
      <c r="X30" s="2401">
        <f t="shared" si="19"/>
        <v>1462.5</v>
      </c>
      <c r="Y30" s="2401">
        <f t="shared" si="19"/>
        <v>1755</v>
      </c>
      <c r="Z30" s="2401">
        <f t="shared" si="19"/>
        <v>585</v>
      </c>
      <c r="AA30" s="2401">
        <f t="shared" si="19"/>
        <v>936</v>
      </c>
      <c r="AB30" s="2401">
        <f t="shared" si="19"/>
        <v>1462.5</v>
      </c>
      <c r="AC30" s="2401">
        <f t="shared" si="19"/>
        <v>585</v>
      </c>
      <c r="AD30" s="2401">
        <f t="shared" si="19"/>
        <v>986.7</v>
      </c>
      <c r="AE30" s="2401">
        <f t="shared" si="19"/>
        <v>1755</v>
      </c>
      <c r="AF30" s="2401">
        <f t="shared" si="19"/>
        <v>639.6</v>
      </c>
      <c r="AG30" s="2401">
        <f t="shared" si="19"/>
        <v>553.80000000000007</v>
      </c>
      <c r="AH30" s="2401">
        <f t="shared" si="19"/>
        <v>553.80000000000007</v>
      </c>
      <c r="AI30" s="2401">
        <f t="shared" si="19"/>
        <v>861.9</v>
      </c>
      <c r="AJ30" s="2401">
        <f t="shared" si="19"/>
        <v>58.5</v>
      </c>
      <c r="AK30" s="2401">
        <f t="shared" si="19"/>
        <v>101.4</v>
      </c>
      <c r="AL30" s="2401">
        <f t="shared" si="19"/>
        <v>861.9</v>
      </c>
      <c r="AM30" s="2401">
        <f t="shared" si="19"/>
        <v>1318.2</v>
      </c>
      <c r="AN30" s="2401">
        <f t="shared" si="19"/>
        <v>553.80000000000007</v>
      </c>
      <c r="AO30" s="2401">
        <f t="shared" si="19"/>
        <v>741</v>
      </c>
      <c r="AP30" s="2401">
        <f t="shared" si="19"/>
        <v>889.2</v>
      </c>
      <c r="AQ30" s="2401">
        <f t="shared" si="19"/>
        <v>861.9</v>
      </c>
      <c r="AR30" s="2401">
        <f t="shared" si="19"/>
        <v>1255.8</v>
      </c>
      <c r="AS30" s="2401">
        <f t="shared" si="19"/>
        <v>66.3</v>
      </c>
      <c r="AT30" s="2401">
        <f t="shared" si="19"/>
        <v>335.40000000000003</v>
      </c>
      <c r="AU30" s="2401">
        <f t="shared" si="19"/>
        <v>335.40000000000003</v>
      </c>
      <c r="AV30" s="2401">
        <f t="shared" si="19"/>
        <v>861.9</v>
      </c>
      <c r="AW30" s="2401">
        <f t="shared" si="19"/>
        <v>222.3</v>
      </c>
      <c r="AX30" s="2401">
        <f t="shared" si="19"/>
        <v>471.90000000000003</v>
      </c>
      <c r="AY30" s="2401">
        <f t="shared" si="19"/>
        <v>608.4</v>
      </c>
      <c r="AZ30" s="2401">
        <f t="shared" si="19"/>
        <v>670.80000000000007</v>
      </c>
      <c r="BA30" s="2401">
        <f t="shared" si="19"/>
        <v>499.20000000000005</v>
      </c>
      <c r="BB30" s="2401">
        <f t="shared" si="19"/>
        <v>639.6</v>
      </c>
      <c r="BC30" s="2401">
        <f t="shared" si="19"/>
        <v>705.9</v>
      </c>
      <c r="BD30" s="2401">
        <f t="shared" si="19"/>
        <v>877.5</v>
      </c>
      <c r="BE30" s="2401">
        <f t="shared" si="19"/>
        <v>939.9</v>
      </c>
      <c r="BF30" s="2401">
        <f t="shared" si="19"/>
        <v>1045.2</v>
      </c>
      <c r="BG30" s="2401">
        <f t="shared" si="19"/>
        <v>585</v>
      </c>
      <c r="BH30" s="2401">
        <f t="shared" si="19"/>
        <v>553.80000000000007</v>
      </c>
      <c r="BI30" s="2401">
        <f t="shared" si="19"/>
        <v>429</v>
      </c>
      <c r="BJ30" s="2401">
        <f t="shared" si="19"/>
        <v>959.4</v>
      </c>
      <c r="BK30" s="2401">
        <f t="shared" si="19"/>
        <v>1103.7</v>
      </c>
      <c r="BL30" s="2401">
        <f t="shared" si="19"/>
        <v>1548.3</v>
      </c>
      <c r="BM30" s="2401">
        <f t="shared" si="19"/>
        <v>339.3</v>
      </c>
      <c r="BN30" s="2401">
        <f t="shared" si="19"/>
        <v>390</v>
      </c>
      <c r="BO30" s="2401">
        <f t="shared" si="19"/>
        <v>542.1</v>
      </c>
      <c r="BP30" s="2401">
        <f t="shared" si="19"/>
        <v>2402.4</v>
      </c>
      <c r="BQ30" s="2401">
        <f t="shared" si="13"/>
        <v>390</v>
      </c>
      <c r="BR30" s="2401">
        <f t="shared" ref="BR30:EC30" si="22">BR15*$C$25</f>
        <v>409.5</v>
      </c>
      <c r="BS30" s="2401">
        <f t="shared" si="22"/>
        <v>432.90000000000003</v>
      </c>
      <c r="BT30" s="2401">
        <f t="shared" si="22"/>
        <v>456.3</v>
      </c>
      <c r="BU30" s="2401">
        <f t="shared" si="22"/>
        <v>409.5</v>
      </c>
      <c r="BV30" s="2401">
        <f t="shared" si="22"/>
        <v>432.90000000000003</v>
      </c>
      <c r="BW30" s="2401">
        <f t="shared" si="22"/>
        <v>456.3</v>
      </c>
      <c r="BX30" s="2401">
        <f t="shared" si="22"/>
        <v>479.7</v>
      </c>
      <c r="BY30" s="2401">
        <f t="shared" si="22"/>
        <v>429</v>
      </c>
      <c r="BZ30" s="2401">
        <f t="shared" si="22"/>
        <v>452.40000000000003</v>
      </c>
      <c r="CA30" s="2401">
        <f t="shared" si="22"/>
        <v>479.7</v>
      </c>
      <c r="CB30" s="2401">
        <f t="shared" si="22"/>
        <v>429</v>
      </c>
      <c r="CC30" s="2401">
        <f t="shared" si="22"/>
        <v>452.40000000000003</v>
      </c>
      <c r="CD30" s="2401">
        <f t="shared" si="22"/>
        <v>479.7</v>
      </c>
      <c r="CE30" s="2401">
        <f t="shared" si="22"/>
        <v>553.80000000000007</v>
      </c>
      <c r="CF30" s="2401">
        <f t="shared" si="22"/>
        <v>526.5</v>
      </c>
      <c r="CG30" s="2401">
        <f t="shared" si="22"/>
        <v>553.80000000000007</v>
      </c>
      <c r="CH30" s="2401">
        <f t="shared" si="22"/>
        <v>585</v>
      </c>
      <c r="CI30" s="2401">
        <f t="shared" si="22"/>
        <v>616.20000000000005</v>
      </c>
      <c r="CJ30" s="2401">
        <f t="shared" si="22"/>
        <v>553.80000000000007</v>
      </c>
      <c r="CK30" s="2401">
        <f t="shared" si="22"/>
        <v>585</v>
      </c>
      <c r="CL30" s="2401">
        <f t="shared" si="22"/>
        <v>616.20000000000005</v>
      </c>
      <c r="CM30" s="2401">
        <f t="shared" si="22"/>
        <v>651.30000000000007</v>
      </c>
      <c r="CN30" s="2401">
        <f t="shared" si="22"/>
        <v>581.1</v>
      </c>
      <c r="CO30" s="2401">
        <f t="shared" si="22"/>
        <v>612.30000000000007</v>
      </c>
      <c r="CP30" s="2401">
        <f t="shared" si="22"/>
        <v>651.30000000000007</v>
      </c>
      <c r="CQ30" s="2401">
        <f t="shared" si="22"/>
        <v>581.1</v>
      </c>
      <c r="CR30" s="2401">
        <f t="shared" si="22"/>
        <v>612.30000000000007</v>
      </c>
      <c r="CS30" s="2401">
        <f t="shared" si="22"/>
        <v>651.30000000000007</v>
      </c>
      <c r="CT30" s="2401">
        <f t="shared" si="22"/>
        <v>748.80000000000007</v>
      </c>
      <c r="CU30" s="2401">
        <f t="shared" si="22"/>
        <v>0</v>
      </c>
      <c r="CV30" s="2401">
        <f t="shared" si="22"/>
        <v>1431.3</v>
      </c>
      <c r="CW30" s="2401">
        <f t="shared" si="22"/>
        <v>1649.7</v>
      </c>
      <c r="CX30" s="2401">
        <f t="shared" si="22"/>
        <v>1790.1000000000001</v>
      </c>
      <c r="CY30" s="2401">
        <f t="shared" si="22"/>
        <v>2148.9</v>
      </c>
      <c r="CZ30" s="2401">
        <f t="shared" si="22"/>
        <v>1864.2</v>
      </c>
      <c r="DA30" s="2401">
        <f t="shared" si="22"/>
        <v>2238.6</v>
      </c>
      <c r="DB30" s="2401">
        <f t="shared" si="22"/>
        <v>2195.7000000000003</v>
      </c>
      <c r="DC30" s="2401">
        <f t="shared" si="22"/>
        <v>2195.7000000000003</v>
      </c>
      <c r="DD30" s="2401">
        <f t="shared" si="22"/>
        <v>4102.8</v>
      </c>
      <c r="DE30" s="2401">
        <f t="shared" si="22"/>
        <v>4102.8</v>
      </c>
      <c r="DF30" s="2401">
        <f t="shared" si="22"/>
        <v>4102.8</v>
      </c>
      <c r="DG30" s="2401">
        <f t="shared" si="22"/>
        <v>986.7</v>
      </c>
      <c r="DH30" s="2401">
        <f t="shared" si="22"/>
        <v>1185.6000000000001</v>
      </c>
      <c r="DI30" s="2401">
        <f t="shared" si="22"/>
        <v>553.80000000000007</v>
      </c>
      <c r="DJ30" s="2401">
        <f t="shared" si="22"/>
        <v>0</v>
      </c>
      <c r="DK30" s="2401">
        <f t="shared" si="22"/>
        <v>4153.5</v>
      </c>
      <c r="DL30" s="2401">
        <f t="shared" si="22"/>
        <v>7566</v>
      </c>
      <c r="DM30" s="2401">
        <f t="shared" si="22"/>
        <v>1891.5</v>
      </c>
      <c r="DN30" s="2401">
        <f t="shared" si="22"/>
        <v>0</v>
      </c>
      <c r="DO30" s="2401">
        <f t="shared" si="22"/>
        <v>7137</v>
      </c>
      <c r="DP30" s="2401">
        <f t="shared" si="22"/>
        <v>11056.5</v>
      </c>
      <c r="DQ30" s="2401">
        <f t="shared" si="22"/>
        <v>7410</v>
      </c>
      <c r="DR30" s="2401">
        <f t="shared" si="22"/>
        <v>5187.0000000000009</v>
      </c>
      <c r="DS30" s="2401">
        <f t="shared" si="22"/>
        <v>0</v>
      </c>
      <c r="DT30" s="2401">
        <f t="shared" si="22"/>
        <v>0</v>
      </c>
      <c r="DU30" s="2401">
        <f t="shared" si="22"/>
        <v>13084.5</v>
      </c>
      <c r="DV30" s="2401">
        <f t="shared" si="22"/>
        <v>8913.8156250000011</v>
      </c>
      <c r="DW30" s="2401">
        <f t="shared" si="22"/>
        <v>20260.5</v>
      </c>
      <c r="DX30" s="2401">
        <f t="shared" si="22"/>
        <v>13802.465625000001</v>
      </c>
      <c r="DY30" s="2401">
        <f t="shared" si="22"/>
        <v>0</v>
      </c>
      <c r="DZ30" s="2401">
        <f t="shared" si="22"/>
        <v>0</v>
      </c>
      <c r="EA30" s="2401">
        <f t="shared" si="22"/>
        <v>15112.5</v>
      </c>
      <c r="EB30" s="2401">
        <f t="shared" si="22"/>
        <v>9445.3125</v>
      </c>
      <c r="EC30" s="2401">
        <f t="shared" si="22"/>
        <v>1889.0625</v>
      </c>
      <c r="ED30" s="2401">
        <f t="shared" ref="ED30" si="23">ED15*$C$25</f>
        <v>1056.51</v>
      </c>
    </row>
    <row r="31" spans="1:136" s="595" customFormat="1" ht="15.75" hidden="1" customHeight="1" outlineLevel="1">
      <c r="A31" s="2714" t="s">
        <v>763</v>
      </c>
      <c r="B31" s="880" t="s">
        <v>1292</v>
      </c>
      <c r="C31" s="1292">
        <v>1.05</v>
      </c>
      <c r="D31" s="2413">
        <f t="shared" si="16"/>
        <v>1072.5</v>
      </c>
      <c r="E31" s="2401">
        <f t="shared" si="19"/>
        <v>2125.5</v>
      </c>
      <c r="F31" s="2401">
        <f t="shared" si="19"/>
        <v>1072.5</v>
      </c>
      <c r="G31" s="2401">
        <f t="shared" si="19"/>
        <v>1170</v>
      </c>
      <c r="H31" s="2401">
        <f t="shared" si="19"/>
        <v>0</v>
      </c>
      <c r="I31" s="2401">
        <f t="shared" si="19"/>
        <v>1072.5</v>
      </c>
      <c r="J31" s="2401">
        <f t="shared" si="19"/>
        <v>2164.5</v>
      </c>
      <c r="K31" s="2401">
        <f t="shared" si="19"/>
        <v>1969.5</v>
      </c>
      <c r="L31" s="2401">
        <f t="shared" si="19"/>
        <v>1813.5</v>
      </c>
      <c r="M31" s="2413">
        <f t="shared" si="19"/>
        <v>585</v>
      </c>
      <c r="N31" s="2401">
        <f t="shared" si="19"/>
        <v>682.5</v>
      </c>
      <c r="O31" s="2401">
        <f t="shared" si="19"/>
        <v>682.5</v>
      </c>
      <c r="P31" s="2401">
        <f t="shared" si="19"/>
        <v>760.5</v>
      </c>
      <c r="Q31" s="2401">
        <f t="shared" si="19"/>
        <v>936</v>
      </c>
      <c r="R31" s="2401">
        <f t="shared" si="19"/>
        <v>0</v>
      </c>
      <c r="S31" s="2401">
        <f t="shared" si="19"/>
        <v>0</v>
      </c>
      <c r="T31" s="2401">
        <f t="shared" si="19"/>
        <v>1033.5</v>
      </c>
      <c r="U31" s="2401">
        <f t="shared" si="19"/>
        <v>0</v>
      </c>
      <c r="V31" s="2401">
        <f t="shared" si="19"/>
        <v>0</v>
      </c>
      <c r="W31" s="2401">
        <f t="shared" si="19"/>
        <v>0</v>
      </c>
      <c r="X31" s="2401">
        <f t="shared" si="19"/>
        <v>0</v>
      </c>
      <c r="Y31" s="2401">
        <f t="shared" si="19"/>
        <v>0</v>
      </c>
      <c r="Z31" s="2401">
        <f t="shared" si="19"/>
        <v>624</v>
      </c>
      <c r="AA31" s="2401">
        <f t="shared" si="19"/>
        <v>994.5</v>
      </c>
      <c r="AB31" s="2401">
        <f t="shared" si="19"/>
        <v>1540.5</v>
      </c>
      <c r="AC31" s="2401">
        <f t="shared" si="19"/>
        <v>624</v>
      </c>
      <c r="AD31" s="2401">
        <f t="shared" si="19"/>
        <v>0</v>
      </c>
      <c r="AE31" s="2401">
        <f t="shared" si="19"/>
        <v>0</v>
      </c>
      <c r="AF31" s="2401" t="e">
        <f t="shared" si="19"/>
        <v>#REF!</v>
      </c>
      <c r="AG31" s="2401">
        <f t="shared" si="19"/>
        <v>585</v>
      </c>
      <c r="AH31" s="2401">
        <f t="shared" si="19"/>
        <v>585</v>
      </c>
      <c r="AI31" s="2401">
        <f t="shared" si="19"/>
        <v>916.5</v>
      </c>
      <c r="AJ31" s="2401">
        <f t="shared" si="19"/>
        <v>58.5</v>
      </c>
      <c r="AK31" s="2401">
        <f t="shared" si="19"/>
        <v>109.2</v>
      </c>
      <c r="AL31" s="2401">
        <f t="shared" si="19"/>
        <v>916.5</v>
      </c>
      <c r="AM31" s="2401">
        <f t="shared" si="19"/>
        <v>0</v>
      </c>
      <c r="AN31" s="2401">
        <f t="shared" si="19"/>
        <v>585</v>
      </c>
      <c r="AO31" s="2401">
        <f t="shared" si="19"/>
        <v>780</v>
      </c>
      <c r="AP31" s="2401">
        <f t="shared" si="19"/>
        <v>936</v>
      </c>
      <c r="AQ31" s="2401">
        <f t="shared" si="19"/>
        <v>916.5</v>
      </c>
      <c r="AR31" s="2401">
        <f t="shared" si="19"/>
        <v>1326</v>
      </c>
      <c r="AS31" s="2401">
        <f t="shared" si="19"/>
        <v>66.3</v>
      </c>
      <c r="AT31" s="2401">
        <f t="shared" si="19"/>
        <v>370.5</v>
      </c>
      <c r="AU31" s="2401">
        <f t="shared" si="19"/>
        <v>370.5</v>
      </c>
      <c r="AV31" s="2401">
        <f t="shared" si="19"/>
        <v>916.5</v>
      </c>
      <c r="AW31" s="2401">
        <f t="shared" si="19"/>
        <v>234</v>
      </c>
      <c r="AX31" s="2401">
        <f t="shared" si="19"/>
        <v>507</v>
      </c>
      <c r="AY31" s="2401">
        <f t="shared" si="19"/>
        <v>643.5</v>
      </c>
      <c r="AZ31" s="2401">
        <f t="shared" si="19"/>
        <v>721.5</v>
      </c>
      <c r="BA31" s="2401">
        <f t="shared" si="19"/>
        <v>526.5</v>
      </c>
      <c r="BB31" s="2401">
        <f t="shared" si="19"/>
        <v>682.5</v>
      </c>
      <c r="BC31" s="2401">
        <f t="shared" si="19"/>
        <v>760.5</v>
      </c>
      <c r="BD31" s="2401">
        <f t="shared" si="19"/>
        <v>0</v>
      </c>
      <c r="BE31" s="2401">
        <f t="shared" si="19"/>
        <v>0</v>
      </c>
      <c r="BF31" s="2401">
        <f t="shared" si="19"/>
        <v>0</v>
      </c>
      <c r="BG31" s="2401">
        <f t="shared" si="19"/>
        <v>624</v>
      </c>
      <c r="BH31" s="2401">
        <f t="shared" si="19"/>
        <v>585</v>
      </c>
      <c r="BI31" s="2401">
        <f t="shared" si="19"/>
        <v>429</v>
      </c>
      <c r="BJ31" s="2401">
        <f t="shared" si="19"/>
        <v>1014</v>
      </c>
      <c r="BK31" s="2401">
        <f t="shared" si="19"/>
        <v>1170</v>
      </c>
      <c r="BL31" s="2401">
        <f t="shared" si="19"/>
        <v>1638</v>
      </c>
      <c r="BM31" s="2401">
        <f t="shared" si="19"/>
        <v>370.5</v>
      </c>
      <c r="BN31" s="2401">
        <f t="shared" si="19"/>
        <v>409.5</v>
      </c>
      <c r="BO31" s="2401">
        <f t="shared" si="19"/>
        <v>585</v>
      </c>
      <c r="BP31" s="2401">
        <f t="shared" si="19"/>
        <v>2535</v>
      </c>
      <c r="BQ31" s="2401">
        <f t="shared" si="13"/>
        <v>409.5</v>
      </c>
      <c r="BR31" s="2401">
        <f t="shared" ref="BR31:EC31" si="24">BR16*$C$25</f>
        <v>448.5</v>
      </c>
      <c r="BS31" s="2401">
        <f t="shared" si="24"/>
        <v>468</v>
      </c>
      <c r="BT31" s="2401">
        <f t="shared" si="24"/>
        <v>487.5</v>
      </c>
      <c r="BU31" s="2401">
        <f t="shared" si="24"/>
        <v>0</v>
      </c>
      <c r="BV31" s="2401">
        <f t="shared" si="24"/>
        <v>0</v>
      </c>
      <c r="BW31" s="2401">
        <f t="shared" si="24"/>
        <v>0</v>
      </c>
      <c r="BX31" s="2401">
        <f t="shared" si="24"/>
        <v>0</v>
      </c>
      <c r="BY31" s="2401">
        <f t="shared" si="24"/>
        <v>468</v>
      </c>
      <c r="BZ31" s="2401">
        <f t="shared" si="24"/>
        <v>487.5</v>
      </c>
      <c r="CA31" s="2401">
        <f t="shared" si="24"/>
        <v>507</v>
      </c>
      <c r="CB31" s="2401">
        <f t="shared" si="24"/>
        <v>468</v>
      </c>
      <c r="CC31" s="2401">
        <f t="shared" si="24"/>
        <v>487.5</v>
      </c>
      <c r="CD31" s="2401">
        <f t="shared" si="24"/>
        <v>507</v>
      </c>
      <c r="CE31" s="2401">
        <f t="shared" si="24"/>
        <v>0</v>
      </c>
      <c r="CF31" s="2401">
        <f t="shared" si="24"/>
        <v>565.5</v>
      </c>
      <c r="CG31" s="2401">
        <f t="shared" si="24"/>
        <v>585</v>
      </c>
      <c r="CH31" s="2401">
        <f t="shared" si="24"/>
        <v>624</v>
      </c>
      <c r="CI31" s="2401">
        <f t="shared" si="24"/>
        <v>663</v>
      </c>
      <c r="CJ31" s="2401">
        <f t="shared" si="24"/>
        <v>0</v>
      </c>
      <c r="CK31" s="2401">
        <f t="shared" si="24"/>
        <v>0</v>
      </c>
      <c r="CL31" s="2401">
        <f t="shared" si="24"/>
        <v>0</v>
      </c>
      <c r="CM31" s="2401">
        <f t="shared" si="24"/>
        <v>0</v>
      </c>
      <c r="CN31" s="2401">
        <f t="shared" si="24"/>
        <v>624</v>
      </c>
      <c r="CO31" s="2401">
        <f t="shared" si="24"/>
        <v>643.5</v>
      </c>
      <c r="CP31" s="2401">
        <f t="shared" si="24"/>
        <v>702</v>
      </c>
      <c r="CQ31" s="2401">
        <f t="shared" si="24"/>
        <v>624</v>
      </c>
      <c r="CR31" s="2401">
        <f t="shared" si="24"/>
        <v>643.5</v>
      </c>
      <c r="CS31" s="2401">
        <f t="shared" si="24"/>
        <v>702</v>
      </c>
      <c r="CT31" s="2401" t="e">
        <f t="shared" si="24"/>
        <v>#REF!</v>
      </c>
      <c r="CU31" s="2401">
        <f t="shared" si="24"/>
        <v>0</v>
      </c>
      <c r="CV31" s="2401">
        <f t="shared" si="24"/>
        <v>1521</v>
      </c>
      <c r="CW31" s="2401">
        <f t="shared" si="24"/>
        <v>1735.5</v>
      </c>
      <c r="CX31" s="2401">
        <f t="shared" si="24"/>
        <v>1891.5</v>
      </c>
      <c r="CY31" s="2401">
        <f t="shared" si="24"/>
        <v>2262</v>
      </c>
      <c r="CZ31" s="2401">
        <f t="shared" si="24"/>
        <v>1969.5</v>
      </c>
      <c r="DA31" s="2401">
        <f t="shared" si="24"/>
        <v>2359.5</v>
      </c>
      <c r="DB31" s="2401">
        <f t="shared" si="24"/>
        <v>2320.5</v>
      </c>
      <c r="DC31" s="2401">
        <f t="shared" si="24"/>
        <v>2320.5</v>
      </c>
      <c r="DD31" s="2401">
        <f t="shared" si="24"/>
        <v>4309.5</v>
      </c>
      <c r="DE31" s="2401">
        <f t="shared" si="24"/>
        <v>4309.5</v>
      </c>
      <c r="DF31" s="2401">
        <f t="shared" si="24"/>
        <v>4309.5</v>
      </c>
      <c r="DG31" s="2401">
        <f t="shared" si="24"/>
        <v>1053</v>
      </c>
      <c r="DH31" s="2401">
        <f t="shared" si="24"/>
        <v>1248</v>
      </c>
      <c r="DI31" s="2401">
        <f t="shared" si="24"/>
        <v>585</v>
      </c>
      <c r="DJ31" s="2401">
        <f t="shared" si="24"/>
        <v>0</v>
      </c>
      <c r="DK31" s="2401">
        <f t="shared" si="24"/>
        <v>4368</v>
      </c>
      <c r="DL31" s="2401">
        <f t="shared" si="24"/>
        <v>0</v>
      </c>
      <c r="DM31" s="2401">
        <f t="shared" si="24"/>
        <v>0</v>
      </c>
      <c r="DN31" s="2401">
        <f t="shared" si="24"/>
        <v>0</v>
      </c>
      <c r="DO31" s="2401">
        <f t="shared" si="24"/>
        <v>0</v>
      </c>
      <c r="DP31" s="2401">
        <f t="shared" si="24"/>
        <v>11622</v>
      </c>
      <c r="DQ31" s="2401">
        <f t="shared" si="24"/>
        <v>8217.3000000000011</v>
      </c>
      <c r="DR31" s="2401">
        <f t="shared" si="24"/>
        <v>5752.1100000000006</v>
      </c>
      <c r="DS31" s="2401">
        <f t="shared" si="24"/>
        <v>0</v>
      </c>
      <c r="DT31" s="2401">
        <f t="shared" si="24"/>
        <v>0</v>
      </c>
      <c r="DU31" s="2401">
        <f t="shared" si="24"/>
        <v>0</v>
      </c>
      <c r="DV31" s="2401">
        <f t="shared" si="24"/>
        <v>0</v>
      </c>
      <c r="DW31" s="2401">
        <f t="shared" si="24"/>
        <v>0</v>
      </c>
      <c r="DX31" s="2401">
        <f t="shared" si="24"/>
        <v>0</v>
      </c>
      <c r="DY31" s="2401">
        <f t="shared" si="24"/>
        <v>12678.9</v>
      </c>
      <c r="DZ31" s="2401">
        <f t="shared" si="24"/>
        <v>8637.5006250000006</v>
      </c>
      <c r="EA31" s="2401">
        <f t="shared" si="24"/>
        <v>0</v>
      </c>
      <c r="EB31" s="2401">
        <f t="shared" si="24"/>
        <v>0</v>
      </c>
      <c r="EC31" s="2401">
        <f t="shared" si="24"/>
        <v>0</v>
      </c>
      <c r="ED31" s="2401">
        <f t="shared" ref="ED31" si="25">ED16*$C$25</f>
        <v>1126.125</v>
      </c>
    </row>
    <row r="32" spans="1:136" s="595" customFormat="1" ht="21" hidden="1" customHeight="1" outlineLevel="1">
      <c r="A32" s="2715"/>
      <c r="B32" s="881" t="s">
        <v>1282</v>
      </c>
      <c r="C32" s="1292">
        <v>1.1299999999999999</v>
      </c>
      <c r="D32" s="2413">
        <f t="shared" si="16"/>
        <v>1150.5</v>
      </c>
      <c r="E32" s="2401">
        <f t="shared" si="19"/>
        <v>2281.5</v>
      </c>
      <c r="F32" s="2401">
        <f t="shared" si="19"/>
        <v>1150.5</v>
      </c>
      <c r="G32" s="2401">
        <f t="shared" si="19"/>
        <v>1267.5</v>
      </c>
      <c r="H32" s="2401">
        <f t="shared" si="19"/>
        <v>0</v>
      </c>
      <c r="I32" s="2401">
        <f t="shared" si="19"/>
        <v>1150.5</v>
      </c>
      <c r="J32" s="2401">
        <f t="shared" si="19"/>
        <v>2340</v>
      </c>
      <c r="K32" s="2401">
        <f t="shared" si="19"/>
        <v>2125.5</v>
      </c>
      <c r="L32" s="2401">
        <f t="shared" si="19"/>
        <v>1950</v>
      </c>
      <c r="M32" s="2413">
        <f t="shared" si="19"/>
        <v>643.5</v>
      </c>
      <c r="N32" s="2401">
        <f t="shared" si="19"/>
        <v>741</v>
      </c>
      <c r="O32" s="2401">
        <f t="shared" si="19"/>
        <v>741</v>
      </c>
      <c r="P32" s="2401">
        <f t="shared" si="19"/>
        <v>799.5</v>
      </c>
      <c r="Q32" s="2401">
        <f t="shared" si="19"/>
        <v>1014</v>
      </c>
      <c r="R32" s="2401">
        <f t="shared" si="19"/>
        <v>0</v>
      </c>
      <c r="S32" s="2401">
        <f t="shared" si="19"/>
        <v>0</v>
      </c>
      <c r="T32" s="2401">
        <f t="shared" si="19"/>
        <v>1111.5</v>
      </c>
      <c r="U32" s="2401">
        <f t="shared" si="19"/>
        <v>0</v>
      </c>
      <c r="V32" s="2401">
        <f t="shared" si="19"/>
        <v>0</v>
      </c>
      <c r="W32" s="2401">
        <f t="shared" si="19"/>
        <v>0</v>
      </c>
      <c r="X32" s="2401">
        <f t="shared" si="19"/>
        <v>0</v>
      </c>
      <c r="Y32" s="2401">
        <f t="shared" si="19"/>
        <v>0</v>
      </c>
      <c r="Z32" s="2401">
        <f t="shared" si="19"/>
        <v>663</v>
      </c>
      <c r="AA32" s="2401">
        <f t="shared" si="19"/>
        <v>1072.5</v>
      </c>
      <c r="AB32" s="2401">
        <f t="shared" si="19"/>
        <v>1657.5</v>
      </c>
      <c r="AC32" s="2401">
        <f t="shared" si="19"/>
        <v>663</v>
      </c>
      <c r="AD32" s="2401">
        <f t="shared" si="19"/>
        <v>0</v>
      </c>
      <c r="AE32" s="2401">
        <f t="shared" si="19"/>
        <v>0</v>
      </c>
      <c r="AF32" s="2401" t="e">
        <f t="shared" si="19"/>
        <v>#REF!</v>
      </c>
      <c r="AG32" s="2401">
        <f t="shared" si="19"/>
        <v>643.5</v>
      </c>
      <c r="AH32" s="2401">
        <f t="shared" si="19"/>
        <v>643.5</v>
      </c>
      <c r="AI32" s="2401">
        <f t="shared" si="19"/>
        <v>975</v>
      </c>
      <c r="AJ32" s="2401">
        <f t="shared" si="19"/>
        <v>66.3</v>
      </c>
      <c r="AK32" s="2401">
        <f t="shared" si="19"/>
        <v>117</v>
      </c>
      <c r="AL32" s="2401">
        <f t="shared" si="19"/>
        <v>1014</v>
      </c>
      <c r="AM32" s="2401">
        <f t="shared" si="19"/>
        <v>0</v>
      </c>
      <c r="AN32" s="2401">
        <f t="shared" si="19"/>
        <v>643.5</v>
      </c>
      <c r="AO32" s="2401">
        <f t="shared" si="19"/>
        <v>858</v>
      </c>
      <c r="AP32" s="2401">
        <f t="shared" si="19"/>
        <v>1029.6000000000001</v>
      </c>
      <c r="AQ32" s="2401">
        <f t="shared" si="19"/>
        <v>975</v>
      </c>
      <c r="AR32" s="2401">
        <f t="shared" si="19"/>
        <v>1458.6000000000001</v>
      </c>
      <c r="AS32" s="2401">
        <f t="shared" si="19"/>
        <v>66.3</v>
      </c>
      <c r="AT32" s="2401">
        <f t="shared" si="19"/>
        <v>390</v>
      </c>
      <c r="AU32" s="2401">
        <f t="shared" si="19"/>
        <v>390</v>
      </c>
      <c r="AV32" s="2401">
        <f t="shared" si="19"/>
        <v>975</v>
      </c>
      <c r="AW32" s="2401">
        <f t="shared" si="19"/>
        <v>253.5</v>
      </c>
      <c r="AX32" s="2401">
        <f t="shared" si="19"/>
        <v>546</v>
      </c>
      <c r="AY32" s="2401">
        <f t="shared" si="19"/>
        <v>702</v>
      </c>
      <c r="AZ32" s="2401">
        <f t="shared" si="19"/>
        <v>760.5</v>
      </c>
      <c r="BA32" s="2401">
        <f t="shared" si="19"/>
        <v>565.5</v>
      </c>
      <c r="BB32" s="2401">
        <f t="shared" si="19"/>
        <v>741</v>
      </c>
      <c r="BC32" s="2401">
        <f t="shared" si="19"/>
        <v>799.5</v>
      </c>
      <c r="BD32" s="2401">
        <f t="shared" si="19"/>
        <v>0</v>
      </c>
      <c r="BE32" s="2401">
        <f t="shared" si="19"/>
        <v>0</v>
      </c>
      <c r="BF32" s="2401">
        <f t="shared" si="19"/>
        <v>0</v>
      </c>
      <c r="BG32" s="2401">
        <f t="shared" si="19"/>
        <v>663</v>
      </c>
      <c r="BH32" s="2401">
        <f t="shared" si="19"/>
        <v>643.5</v>
      </c>
      <c r="BI32" s="2401">
        <f t="shared" si="19"/>
        <v>429</v>
      </c>
      <c r="BJ32" s="2401">
        <f t="shared" si="19"/>
        <v>1092</v>
      </c>
      <c r="BK32" s="2401">
        <f t="shared" si="19"/>
        <v>1248</v>
      </c>
      <c r="BL32" s="2401">
        <f t="shared" si="19"/>
        <v>1755</v>
      </c>
      <c r="BM32" s="2401">
        <f t="shared" si="19"/>
        <v>390</v>
      </c>
      <c r="BN32" s="2401">
        <f t="shared" si="19"/>
        <v>448.5</v>
      </c>
      <c r="BO32" s="2401">
        <f t="shared" si="19"/>
        <v>624</v>
      </c>
      <c r="BP32" s="2401">
        <f t="shared" ref="BP32:BQ34" si="26">BP17*$C$25</f>
        <v>2730</v>
      </c>
      <c r="BQ32" s="2401">
        <f t="shared" si="26"/>
        <v>448.5</v>
      </c>
      <c r="BR32" s="2401">
        <f t="shared" ref="BR32:EC32" si="27">BR17*$C$25</f>
        <v>468</v>
      </c>
      <c r="BS32" s="2401">
        <f t="shared" si="27"/>
        <v>507</v>
      </c>
      <c r="BT32" s="2401">
        <f t="shared" si="27"/>
        <v>526.5</v>
      </c>
      <c r="BU32" s="2401">
        <f t="shared" si="27"/>
        <v>468</v>
      </c>
      <c r="BV32" s="2401">
        <f t="shared" si="27"/>
        <v>507</v>
      </c>
      <c r="BW32" s="2401">
        <f t="shared" si="27"/>
        <v>526.5</v>
      </c>
      <c r="BX32" s="2401">
        <f t="shared" si="27"/>
        <v>546</v>
      </c>
      <c r="BY32" s="2401">
        <f t="shared" si="27"/>
        <v>487.5</v>
      </c>
      <c r="BZ32" s="2401">
        <f t="shared" si="27"/>
        <v>526.5</v>
      </c>
      <c r="CA32" s="2401">
        <f t="shared" si="27"/>
        <v>546</v>
      </c>
      <c r="CB32" s="2401">
        <f t="shared" si="27"/>
        <v>487.5</v>
      </c>
      <c r="CC32" s="2401">
        <f t="shared" si="27"/>
        <v>526.5</v>
      </c>
      <c r="CD32" s="2401">
        <f t="shared" si="27"/>
        <v>546</v>
      </c>
      <c r="CE32" s="2401">
        <f t="shared" si="27"/>
        <v>0</v>
      </c>
      <c r="CF32" s="2401">
        <f t="shared" si="27"/>
        <v>604.5</v>
      </c>
      <c r="CG32" s="2401">
        <f t="shared" si="27"/>
        <v>643.5</v>
      </c>
      <c r="CH32" s="2401">
        <f t="shared" si="27"/>
        <v>663</v>
      </c>
      <c r="CI32" s="2401">
        <f t="shared" si="27"/>
        <v>702</v>
      </c>
      <c r="CJ32" s="2401">
        <f t="shared" si="27"/>
        <v>643.5</v>
      </c>
      <c r="CK32" s="2401">
        <f t="shared" si="27"/>
        <v>663</v>
      </c>
      <c r="CL32" s="2401">
        <f t="shared" si="27"/>
        <v>702</v>
      </c>
      <c r="CM32" s="2401">
        <f t="shared" si="27"/>
        <v>741</v>
      </c>
      <c r="CN32" s="2401">
        <f t="shared" si="27"/>
        <v>663</v>
      </c>
      <c r="CO32" s="2401">
        <f t="shared" si="27"/>
        <v>702</v>
      </c>
      <c r="CP32" s="2401">
        <f t="shared" si="27"/>
        <v>741</v>
      </c>
      <c r="CQ32" s="2401">
        <f t="shared" si="27"/>
        <v>663</v>
      </c>
      <c r="CR32" s="2401">
        <f t="shared" si="27"/>
        <v>702</v>
      </c>
      <c r="CS32" s="2401">
        <f t="shared" si="27"/>
        <v>741</v>
      </c>
      <c r="CT32" s="2401" t="e">
        <f t="shared" si="27"/>
        <v>#REF!</v>
      </c>
      <c r="CU32" s="2401">
        <f t="shared" si="27"/>
        <v>0</v>
      </c>
      <c r="CV32" s="2401">
        <f t="shared" si="27"/>
        <v>1618.5</v>
      </c>
      <c r="CW32" s="2401">
        <f t="shared" si="27"/>
        <v>1872</v>
      </c>
      <c r="CX32" s="2401">
        <f t="shared" si="27"/>
        <v>2028</v>
      </c>
      <c r="CY32" s="2401">
        <f t="shared" si="27"/>
        <v>2437.5</v>
      </c>
      <c r="CZ32" s="2401">
        <f t="shared" si="27"/>
        <v>2125.5</v>
      </c>
      <c r="DA32" s="2401">
        <f t="shared" si="27"/>
        <v>2535</v>
      </c>
      <c r="DB32" s="2401">
        <f t="shared" si="27"/>
        <v>2496</v>
      </c>
      <c r="DC32" s="2401">
        <f t="shared" si="27"/>
        <v>2496</v>
      </c>
      <c r="DD32" s="2401">
        <f t="shared" si="27"/>
        <v>4641</v>
      </c>
      <c r="DE32" s="2401">
        <f t="shared" si="27"/>
        <v>4641</v>
      </c>
      <c r="DF32" s="2401">
        <f t="shared" si="27"/>
        <v>4641</v>
      </c>
      <c r="DG32" s="2401">
        <f t="shared" si="27"/>
        <v>1131</v>
      </c>
      <c r="DH32" s="2401">
        <f t="shared" si="27"/>
        <v>1345.5</v>
      </c>
      <c r="DI32" s="2401">
        <f t="shared" si="27"/>
        <v>627.9</v>
      </c>
      <c r="DJ32" s="2401">
        <f t="shared" si="27"/>
        <v>0</v>
      </c>
      <c r="DK32" s="2401">
        <f t="shared" si="27"/>
        <v>4699.5</v>
      </c>
      <c r="DL32" s="2401">
        <f t="shared" si="27"/>
        <v>8560.5</v>
      </c>
      <c r="DM32" s="2401">
        <f t="shared" si="27"/>
        <v>2203.5</v>
      </c>
      <c r="DN32" s="2401">
        <f t="shared" si="27"/>
        <v>0</v>
      </c>
      <c r="DO32" s="2401">
        <f t="shared" si="27"/>
        <v>8073</v>
      </c>
      <c r="DP32" s="2401">
        <f t="shared" si="27"/>
        <v>12499.5</v>
      </c>
      <c r="DQ32" s="2401">
        <f t="shared" si="27"/>
        <v>8833.5</v>
      </c>
      <c r="DR32" s="2401">
        <f t="shared" si="27"/>
        <v>6183.4500000000007</v>
      </c>
      <c r="DS32" s="2401">
        <f t="shared" si="27"/>
        <v>0</v>
      </c>
      <c r="DT32" s="2401">
        <f t="shared" si="27"/>
        <v>0</v>
      </c>
      <c r="DU32" s="2401">
        <f t="shared" si="27"/>
        <v>0</v>
      </c>
      <c r="DV32" s="2401">
        <f t="shared" si="27"/>
        <v>0</v>
      </c>
      <c r="DW32" s="2401">
        <f t="shared" si="27"/>
        <v>0</v>
      </c>
      <c r="DX32" s="2401">
        <f t="shared" si="27"/>
        <v>0</v>
      </c>
      <c r="DY32" s="2401">
        <f t="shared" si="27"/>
        <v>13630.5</v>
      </c>
      <c r="DZ32" s="2401">
        <f t="shared" si="27"/>
        <v>9285.7781250000007</v>
      </c>
      <c r="EA32" s="2401">
        <f t="shared" si="27"/>
        <v>17628</v>
      </c>
      <c r="EB32" s="2401">
        <f t="shared" si="27"/>
        <v>11017.5</v>
      </c>
      <c r="EC32" s="2401">
        <f t="shared" si="27"/>
        <v>2203.5</v>
      </c>
      <c r="ED32" s="2401">
        <f t="shared" ref="ED32" si="28">ED17*$C$25</f>
        <v>1208.0250000000001</v>
      </c>
    </row>
    <row r="33" spans="1:134" s="1865" customFormat="1" ht="21" hidden="1" customHeight="1" outlineLevel="1">
      <c r="A33" s="2715"/>
      <c r="B33" s="1848" t="s">
        <v>2202</v>
      </c>
      <c r="C33" s="1849">
        <v>1.18</v>
      </c>
      <c r="D33" s="2413">
        <f t="shared" si="16"/>
        <v>1189.5</v>
      </c>
      <c r="E33" s="2401">
        <f t="shared" ref="E33:BP34" si="29">E18*$C$25</f>
        <v>2379</v>
      </c>
      <c r="F33" s="2401">
        <f t="shared" si="29"/>
        <v>1189.5</v>
      </c>
      <c r="G33" s="2401">
        <f t="shared" si="29"/>
        <v>1326</v>
      </c>
      <c r="H33" s="2401">
        <f t="shared" si="29"/>
        <v>0</v>
      </c>
      <c r="I33" s="2401">
        <f t="shared" si="29"/>
        <v>1189.5</v>
      </c>
      <c r="J33" s="2401">
        <f t="shared" si="29"/>
        <v>2437.5</v>
      </c>
      <c r="K33" s="2401">
        <f t="shared" si="29"/>
        <v>2203.5</v>
      </c>
      <c r="L33" s="2401">
        <f t="shared" si="29"/>
        <v>2028</v>
      </c>
      <c r="M33" s="2413">
        <f t="shared" si="29"/>
        <v>663</v>
      </c>
      <c r="N33" s="2401">
        <f t="shared" si="29"/>
        <v>760.5</v>
      </c>
      <c r="O33" s="2401">
        <f t="shared" si="29"/>
        <v>760.5</v>
      </c>
      <c r="P33" s="2401">
        <f t="shared" si="29"/>
        <v>838.5</v>
      </c>
      <c r="Q33" s="2401">
        <f t="shared" si="29"/>
        <v>1053</v>
      </c>
      <c r="R33" s="2401">
        <f t="shared" si="29"/>
        <v>0</v>
      </c>
      <c r="S33" s="2401">
        <f t="shared" si="29"/>
        <v>0</v>
      </c>
      <c r="T33" s="2401">
        <f t="shared" si="29"/>
        <v>0</v>
      </c>
      <c r="U33" s="2401">
        <f t="shared" si="29"/>
        <v>0</v>
      </c>
      <c r="V33" s="2401">
        <f t="shared" si="29"/>
        <v>0</v>
      </c>
      <c r="W33" s="2401">
        <f t="shared" si="29"/>
        <v>0</v>
      </c>
      <c r="X33" s="2401">
        <f t="shared" si="29"/>
        <v>0</v>
      </c>
      <c r="Y33" s="2401">
        <f t="shared" si="29"/>
        <v>0</v>
      </c>
      <c r="Z33" s="2401">
        <f t="shared" si="29"/>
        <v>702</v>
      </c>
      <c r="AA33" s="2401">
        <f t="shared" si="29"/>
        <v>1111.5</v>
      </c>
      <c r="AB33" s="2401">
        <f t="shared" si="29"/>
        <v>1735.5</v>
      </c>
      <c r="AC33" s="2401">
        <f t="shared" si="29"/>
        <v>702</v>
      </c>
      <c r="AD33" s="2401">
        <f t="shared" si="29"/>
        <v>0</v>
      </c>
      <c r="AE33" s="2401">
        <f t="shared" si="29"/>
        <v>0</v>
      </c>
      <c r="AF33" s="2401" t="e">
        <f t="shared" si="29"/>
        <v>#REF!</v>
      </c>
      <c r="AG33" s="2401">
        <f t="shared" si="29"/>
        <v>0</v>
      </c>
      <c r="AH33" s="2401">
        <f t="shared" si="29"/>
        <v>663</v>
      </c>
      <c r="AI33" s="2401">
        <f t="shared" si="29"/>
        <v>1033.5</v>
      </c>
      <c r="AJ33" s="2401">
        <f t="shared" si="29"/>
        <v>66.3</v>
      </c>
      <c r="AK33" s="2401">
        <f t="shared" si="29"/>
        <v>120.9</v>
      </c>
      <c r="AL33" s="2401">
        <f t="shared" si="29"/>
        <v>1170</v>
      </c>
      <c r="AM33" s="2401">
        <f t="shared" si="29"/>
        <v>0</v>
      </c>
      <c r="AN33" s="2401">
        <f t="shared" si="29"/>
        <v>0</v>
      </c>
      <c r="AO33" s="2401">
        <f t="shared" si="29"/>
        <v>0</v>
      </c>
      <c r="AP33" s="2401">
        <f t="shared" si="29"/>
        <v>0</v>
      </c>
      <c r="AQ33" s="2401">
        <f t="shared" si="29"/>
        <v>0</v>
      </c>
      <c r="AR33" s="2401">
        <f t="shared" si="29"/>
        <v>0</v>
      </c>
      <c r="AS33" s="2401">
        <f t="shared" si="29"/>
        <v>66.3</v>
      </c>
      <c r="AT33" s="2401">
        <f t="shared" si="29"/>
        <v>397.8</v>
      </c>
      <c r="AU33" s="2401">
        <f t="shared" si="29"/>
        <v>409.5</v>
      </c>
      <c r="AV33" s="2401">
        <f t="shared" si="29"/>
        <v>1033.5</v>
      </c>
      <c r="AW33" s="2401">
        <f t="shared" si="29"/>
        <v>273</v>
      </c>
      <c r="AX33" s="2401">
        <f t="shared" si="29"/>
        <v>565.5</v>
      </c>
      <c r="AY33" s="2401">
        <f t="shared" si="29"/>
        <v>721.5</v>
      </c>
      <c r="AZ33" s="2401">
        <f t="shared" si="29"/>
        <v>799.5</v>
      </c>
      <c r="BA33" s="2401">
        <f t="shared" si="29"/>
        <v>604.5</v>
      </c>
      <c r="BB33" s="2401">
        <f t="shared" si="29"/>
        <v>760.5</v>
      </c>
      <c r="BC33" s="2401">
        <f t="shared" si="29"/>
        <v>838.5</v>
      </c>
      <c r="BD33" s="2401">
        <f t="shared" si="29"/>
        <v>0</v>
      </c>
      <c r="BE33" s="2401">
        <f t="shared" si="29"/>
        <v>0</v>
      </c>
      <c r="BF33" s="2401">
        <f t="shared" si="29"/>
        <v>0</v>
      </c>
      <c r="BG33" s="2401">
        <f t="shared" si="29"/>
        <v>702</v>
      </c>
      <c r="BH33" s="2401">
        <f t="shared" si="29"/>
        <v>663</v>
      </c>
      <c r="BI33" s="2401">
        <f t="shared" si="29"/>
        <v>0</v>
      </c>
      <c r="BJ33" s="2401">
        <f t="shared" si="29"/>
        <v>1150.5</v>
      </c>
      <c r="BK33" s="2401">
        <f t="shared" si="29"/>
        <v>1306.5</v>
      </c>
      <c r="BL33" s="2401">
        <f t="shared" si="29"/>
        <v>1833</v>
      </c>
      <c r="BM33" s="2401">
        <f t="shared" si="29"/>
        <v>409.5</v>
      </c>
      <c r="BN33" s="2401">
        <f t="shared" si="29"/>
        <v>468</v>
      </c>
      <c r="BO33" s="2401">
        <f t="shared" si="29"/>
        <v>643.5</v>
      </c>
      <c r="BP33" s="2401">
        <f t="shared" si="29"/>
        <v>2847</v>
      </c>
      <c r="BQ33" s="2401">
        <f t="shared" si="26"/>
        <v>0</v>
      </c>
      <c r="BR33" s="2401">
        <f t="shared" ref="BR33:EC33" si="30">BR18*$C$25</f>
        <v>0</v>
      </c>
      <c r="BS33" s="2401">
        <f t="shared" si="30"/>
        <v>0</v>
      </c>
      <c r="BT33" s="2401">
        <f t="shared" si="30"/>
        <v>0</v>
      </c>
      <c r="BU33" s="2401">
        <f t="shared" si="30"/>
        <v>0</v>
      </c>
      <c r="BV33" s="2401">
        <f t="shared" si="30"/>
        <v>0</v>
      </c>
      <c r="BW33" s="2401">
        <f t="shared" si="30"/>
        <v>0</v>
      </c>
      <c r="BX33" s="2401">
        <f t="shared" si="30"/>
        <v>0</v>
      </c>
      <c r="BY33" s="2401">
        <f t="shared" si="30"/>
        <v>0</v>
      </c>
      <c r="BZ33" s="2401">
        <f t="shared" si="30"/>
        <v>0</v>
      </c>
      <c r="CA33" s="2401">
        <f t="shared" si="30"/>
        <v>0</v>
      </c>
      <c r="CB33" s="2401">
        <f t="shared" si="30"/>
        <v>0</v>
      </c>
      <c r="CC33" s="2401">
        <f t="shared" si="30"/>
        <v>0</v>
      </c>
      <c r="CD33" s="2401">
        <f t="shared" si="30"/>
        <v>0</v>
      </c>
      <c r="CE33" s="2401">
        <f t="shared" si="30"/>
        <v>0</v>
      </c>
      <c r="CF33" s="2401">
        <f t="shared" si="30"/>
        <v>0</v>
      </c>
      <c r="CG33" s="2401">
        <f t="shared" si="30"/>
        <v>0</v>
      </c>
      <c r="CH33" s="2401">
        <f t="shared" si="30"/>
        <v>0</v>
      </c>
      <c r="CI33" s="2401">
        <f t="shared" si="30"/>
        <v>0</v>
      </c>
      <c r="CJ33" s="2401">
        <f t="shared" si="30"/>
        <v>0</v>
      </c>
      <c r="CK33" s="2401">
        <f t="shared" si="30"/>
        <v>0</v>
      </c>
      <c r="CL33" s="2401">
        <f t="shared" si="30"/>
        <v>0</v>
      </c>
      <c r="CM33" s="2401">
        <f t="shared" si="30"/>
        <v>0</v>
      </c>
      <c r="CN33" s="2401">
        <f t="shared" si="30"/>
        <v>0</v>
      </c>
      <c r="CO33" s="2401">
        <f t="shared" si="30"/>
        <v>0</v>
      </c>
      <c r="CP33" s="2401">
        <f t="shared" si="30"/>
        <v>0</v>
      </c>
      <c r="CQ33" s="2401">
        <f t="shared" si="30"/>
        <v>0</v>
      </c>
      <c r="CR33" s="2401">
        <f t="shared" si="30"/>
        <v>0</v>
      </c>
      <c r="CS33" s="2401">
        <f t="shared" si="30"/>
        <v>0</v>
      </c>
      <c r="CT33" s="2401">
        <f t="shared" si="30"/>
        <v>0</v>
      </c>
      <c r="CU33" s="2401">
        <f t="shared" si="30"/>
        <v>0</v>
      </c>
      <c r="CV33" s="2401">
        <f t="shared" si="30"/>
        <v>0</v>
      </c>
      <c r="CW33" s="2401">
        <f t="shared" si="30"/>
        <v>0</v>
      </c>
      <c r="CX33" s="2401">
        <f t="shared" si="30"/>
        <v>0</v>
      </c>
      <c r="CY33" s="2401">
        <f t="shared" si="30"/>
        <v>0</v>
      </c>
      <c r="CZ33" s="2401">
        <f t="shared" si="30"/>
        <v>0</v>
      </c>
      <c r="DA33" s="2401">
        <f t="shared" si="30"/>
        <v>0</v>
      </c>
      <c r="DB33" s="2401">
        <f t="shared" si="30"/>
        <v>0</v>
      </c>
      <c r="DC33" s="2401">
        <f t="shared" si="30"/>
        <v>0</v>
      </c>
      <c r="DD33" s="2401">
        <f t="shared" si="30"/>
        <v>0</v>
      </c>
      <c r="DE33" s="2401">
        <f t="shared" si="30"/>
        <v>0</v>
      </c>
      <c r="DF33" s="2401">
        <f t="shared" si="30"/>
        <v>0</v>
      </c>
      <c r="DG33" s="2401">
        <f t="shared" si="30"/>
        <v>0</v>
      </c>
      <c r="DH33" s="2401">
        <f t="shared" si="30"/>
        <v>0</v>
      </c>
      <c r="DI33" s="2401">
        <f t="shared" si="30"/>
        <v>0</v>
      </c>
      <c r="DJ33" s="2401">
        <f t="shared" si="30"/>
        <v>0</v>
      </c>
      <c r="DK33" s="2401">
        <f t="shared" si="30"/>
        <v>4914</v>
      </c>
      <c r="DL33" s="2401">
        <f t="shared" si="30"/>
        <v>0</v>
      </c>
      <c r="DM33" s="2401">
        <f t="shared" si="30"/>
        <v>0</v>
      </c>
      <c r="DN33" s="2401">
        <f t="shared" si="30"/>
        <v>0</v>
      </c>
      <c r="DO33" s="2401">
        <f t="shared" si="30"/>
        <v>0</v>
      </c>
      <c r="DP33" s="2401">
        <f t="shared" si="30"/>
        <v>0</v>
      </c>
      <c r="DQ33" s="2401">
        <f t="shared" si="30"/>
        <v>0</v>
      </c>
      <c r="DR33" s="2401">
        <f t="shared" si="30"/>
        <v>0</v>
      </c>
      <c r="DS33" s="2401">
        <f t="shared" si="30"/>
        <v>0</v>
      </c>
      <c r="DT33" s="2401">
        <f t="shared" si="30"/>
        <v>0</v>
      </c>
      <c r="DU33" s="2401">
        <f t="shared" si="30"/>
        <v>0</v>
      </c>
      <c r="DV33" s="2401">
        <f t="shared" si="30"/>
        <v>0</v>
      </c>
      <c r="DW33" s="2401">
        <f t="shared" si="30"/>
        <v>0</v>
      </c>
      <c r="DX33" s="2401">
        <f t="shared" si="30"/>
        <v>0</v>
      </c>
      <c r="DY33" s="2401">
        <f t="shared" si="30"/>
        <v>0</v>
      </c>
      <c r="DZ33" s="2401">
        <f t="shared" si="30"/>
        <v>0</v>
      </c>
      <c r="EA33" s="2401">
        <f t="shared" si="30"/>
        <v>0</v>
      </c>
      <c r="EB33" s="2401">
        <f t="shared" si="30"/>
        <v>0</v>
      </c>
      <c r="EC33" s="2401">
        <f t="shared" si="30"/>
        <v>0</v>
      </c>
      <c r="ED33" s="2401">
        <f t="shared" ref="ED33" si="31">ED18*$C$25</f>
        <v>0</v>
      </c>
    </row>
    <row r="34" spans="1:134" s="595" customFormat="1" ht="15.6" hidden="1" customHeight="1" outlineLevel="1">
      <c r="A34" s="2694"/>
      <c r="B34" s="1217" t="s">
        <v>1322</v>
      </c>
      <c r="C34" s="1292">
        <v>1.23</v>
      </c>
      <c r="D34" s="2413">
        <f t="shared" si="16"/>
        <v>1248</v>
      </c>
      <c r="E34" s="2401">
        <f t="shared" si="29"/>
        <v>2476.5</v>
      </c>
      <c r="F34" s="2401">
        <f t="shared" si="29"/>
        <v>1248</v>
      </c>
      <c r="G34" s="2401">
        <f t="shared" si="29"/>
        <v>1365</v>
      </c>
      <c r="H34" s="2401">
        <f t="shared" si="29"/>
        <v>0</v>
      </c>
      <c r="I34" s="2401">
        <f t="shared" si="29"/>
        <v>1248</v>
      </c>
      <c r="J34" s="2401">
        <f t="shared" si="29"/>
        <v>2535</v>
      </c>
      <c r="K34" s="2401">
        <f t="shared" si="29"/>
        <v>2301</v>
      </c>
      <c r="L34" s="2401">
        <f t="shared" si="29"/>
        <v>2106</v>
      </c>
      <c r="M34" s="2413">
        <f t="shared" si="29"/>
        <v>682.5</v>
      </c>
      <c r="N34" s="2401">
        <f t="shared" si="29"/>
        <v>799.5</v>
      </c>
      <c r="O34" s="2401">
        <f t="shared" si="29"/>
        <v>799.5</v>
      </c>
      <c r="P34" s="2401">
        <f t="shared" si="29"/>
        <v>877.5</v>
      </c>
      <c r="Q34" s="2401">
        <f t="shared" si="29"/>
        <v>1092</v>
      </c>
      <c r="R34" s="2401">
        <f t="shared" si="29"/>
        <v>0</v>
      </c>
      <c r="S34" s="2401">
        <f t="shared" si="29"/>
        <v>0</v>
      </c>
      <c r="T34" s="2401">
        <f t="shared" si="29"/>
        <v>1209</v>
      </c>
      <c r="U34" s="2401">
        <f t="shared" si="29"/>
        <v>0</v>
      </c>
      <c r="V34" s="2401">
        <f t="shared" si="29"/>
        <v>0</v>
      </c>
      <c r="W34" s="2401">
        <f t="shared" si="29"/>
        <v>0</v>
      </c>
      <c r="X34" s="2401">
        <f t="shared" si="29"/>
        <v>0</v>
      </c>
      <c r="Y34" s="2401">
        <f t="shared" si="29"/>
        <v>0</v>
      </c>
      <c r="Z34" s="2401">
        <f t="shared" si="29"/>
        <v>721.5</v>
      </c>
      <c r="AA34" s="2401">
        <f t="shared" si="29"/>
        <v>1170</v>
      </c>
      <c r="AB34" s="2401">
        <f t="shared" si="29"/>
        <v>1813.5</v>
      </c>
      <c r="AC34" s="2401">
        <f t="shared" si="29"/>
        <v>721.5</v>
      </c>
      <c r="AD34" s="2401">
        <f t="shared" si="29"/>
        <v>0</v>
      </c>
      <c r="AE34" s="2401">
        <f t="shared" si="29"/>
        <v>0</v>
      </c>
      <c r="AF34" s="2401" t="e">
        <f t="shared" si="29"/>
        <v>#REF!</v>
      </c>
      <c r="AG34" s="2401">
        <f t="shared" si="29"/>
        <v>0</v>
      </c>
      <c r="AH34" s="2401">
        <f t="shared" si="29"/>
        <v>682.5</v>
      </c>
      <c r="AI34" s="2401">
        <f t="shared" si="29"/>
        <v>1072.5</v>
      </c>
      <c r="AJ34" s="2401">
        <f t="shared" si="29"/>
        <v>70.2</v>
      </c>
      <c r="AK34" s="2401">
        <f t="shared" si="29"/>
        <v>124.80000000000001</v>
      </c>
      <c r="AL34" s="2401">
        <f t="shared" si="29"/>
        <v>1092</v>
      </c>
      <c r="AM34" s="2401">
        <f t="shared" si="29"/>
        <v>0</v>
      </c>
      <c r="AN34" s="2401">
        <f t="shared" si="29"/>
        <v>0</v>
      </c>
      <c r="AO34" s="2401">
        <f t="shared" si="29"/>
        <v>0</v>
      </c>
      <c r="AP34" s="2401">
        <f t="shared" si="29"/>
        <v>0</v>
      </c>
      <c r="AQ34" s="2401">
        <f t="shared" si="29"/>
        <v>0</v>
      </c>
      <c r="AR34" s="2401">
        <f t="shared" si="29"/>
        <v>0</v>
      </c>
      <c r="AS34" s="2401">
        <f t="shared" si="29"/>
        <v>66.3</v>
      </c>
      <c r="AT34" s="2401">
        <f t="shared" si="29"/>
        <v>429</v>
      </c>
      <c r="AU34" s="2401">
        <f t="shared" si="29"/>
        <v>429</v>
      </c>
      <c r="AV34" s="2401">
        <f t="shared" si="29"/>
        <v>1072.5</v>
      </c>
      <c r="AW34" s="2401">
        <f t="shared" si="29"/>
        <v>292.5</v>
      </c>
      <c r="AX34" s="2401">
        <f t="shared" si="29"/>
        <v>585</v>
      </c>
      <c r="AY34" s="2401">
        <f t="shared" si="29"/>
        <v>760.5</v>
      </c>
      <c r="AZ34" s="2401">
        <f t="shared" si="29"/>
        <v>838.5</v>
      </c>
      <c r="BA34" s="2401">
        <f t="shared" si="29"/>
        <v>624</v>
      </c>
      <c r="BB34" s="2401">
        <f t="shared" si="29"/>
        <v>799.5</v>
      </c>
      <c r="BC34" s="2401">
        <f t="shared" si="29"/>
        <v>877.5</v>
      </c>
      <c r="BD34" s="2401">
        <f t="shared" si="29"/>
        <v>0</v>
      </c>
      <c r="BE34" s="2401">
        <f t="shared" si="29"/>
        <v>0</v>
      </c>
      <c r="BF34" s="2401">
        <f t="shared" si="29"/>
        <v>0</v>
      </c>
      <c r="BG34" s="2401">
        <f t="shared" si="29"/>
        <v>721.5</v>
      </c>
      <c r="BH34" s="2401">
        <f t="shared" si="29"/>
        <v>682.5</v>
      </c>
      <c r="BI34" s="2401">
        <f t="shared" si="29"/>
        <v>0</v>
      </c>
      <c r="BJ34" s="2401">
        <f t="shared" si="29"/>
        <v>1189.5</v>
      </c>
      <c r="BK34" s="2401">
        <f t="shared" si="29"/>
        <v>1365</v>
      </c>
      <c r="BL34" s="2401">
        <f t="shared" si="29"/>
        <v>1911</v>
      </c>
      <c r="BM34" s="2401">
        <f t="shared" si="29"/>
        <v>429</v>
      </c>
      <c r="BN34" s="2401">
        <f t="shared" si="29"/>
        <v>487.5</v>
      </c>
      <c r="BO34" s="2401">
        <f t="shared" si="29"/>
        <v>682.5</v>
      </c>
      <c r="BP34" s="2401">
        <f t="shared" si="29"/>
        <v>2964</v>
      </c>
      <c r="BQ34" s="2401">
        <f t="shared" si="26"/>
        <v>487.5</v>
      </c>
      <c r="BR34" s="2401">
        <f t="shared" ref="BR34:EC34" si="32">BR19*$C$25</f>
        <v>507</v>
      </c>
      <c r="BS34" s="2401">
        <f t="shared" si="32"/>
        <v>546</v>
      </c>
      <c r="BT34" s="2401">
        <f t="shared" si="32"/>
        <v>565.5</v>
      </c>
      <c r="BU34" s="2401">
        <f t="shared" si="32"/>
        <v>507</v>
      </c>
      <c r="BV34" s="2401">
        <f t="shared" si="32"/>
        <v>546</v>
      </c>
      <c r="BW34" s="2401">
        <f t="shared" si="32"/>
        <v>565.5</v>
      </c>
      <c r="BX34" s="2401">
        <f t="shared" si="32"/>
        <v>604.5</v>
      </c>
      <c r="BY34" s="2401">
        <f t="shared" si="32"/>
        <v>546</v>
      </c>
      <c r="BZ34" s="2401">
        <f t="shared" si="32"/>
        <v>565.5</v>
      </c>
      <c r="CA34" s="2401">
        <f t="shared" si="32"/>
        <v>604.5</v>
      </c>
      <c r="CB34" s="2401">
        <f t="shared" si="32"/>
        <v>546</v>
      </c>
      <c r="CC34" s="2401">
        <f t="shared" si="32"/>
        <v>565.5</v>
      </c>
      <c r="CD34" s="2401">
        <f t="shared" si="32"/>
        <v>604.5</v>
      </c>
      <c r="CE34" s="2401" t="e">
        <f t="shared" si="32"/>
        <v>#REF!</v>
      </c>
      <c r="CF34" s="2401">
        <f t="shared" si="32"/>
        <v>663</v>
      </c>
      <c r="CG34" s="2401">
        <f t="shared" si="32"/>
        <v>682.5</v>
      </c>
      <c r="CH34" s="2401">
        <f t="shared" si="32"/>
        <v>721.5</v>
      </c>
      <c r="CI34" s="2401">
        <f t="shared" si="32"/>
        <v>760.5</v>
      </c>
      <c r="CJ34" s="2401">
        <f t="shared" si="32"/>
        <v>682.5</v>
      </c>
      <c r="CK34" s="2401">
        <f t="shared" si="32"/>
        <v>721.5</v>
      </c>
      <c r="CL34" s="2401">
        <f t="shared" si="32"/>
        <v>760.5</v>
      </c>
      <c r="CM34" s="2401">
        <f t="shared" si="32"/>
        <v>819</v>
      </c>
      <c r="CN34" s="2401">
        <f t="shared" si="32"/>
        <v>721.5</v>
      </c>
      <c r="CO34" s="2401">
        <f t="shared" si="32"/>
        <v>760.5</v>
      </c>
      <c r="CP34" s="2401">
        <f t="shared" si="32"/>
        <v>819</v>
      </c>
      <c r="CQ34" s="2401">
        <f t="shared" si="32"/>
        <v>721.5</v>
      </c>
      <c r="CR34" s="2401">
        <f t="shared" si="32"/>
        <v>760.5</v>
      </c>
      <c r="CS34" s="2401">
        <f t="shared" si="32"/>
        <v>819</v>
      </c>
      <c r="CT34" s="2401" t="e">
        <f t="shared" si="32"/>
        <v>#REF!</v>
      </c>
      <c r="CU34" s="2401">
        <f t="shared" si="32"/>
        <v>0</v>
      </c>
      <c r="CV34" s="2401">
        <f t="shared" si="32"/>
        <v>1774.5</v>
      </c>
      <c r="CW34" s="2401">
        <f t="shared" si="32"/>
        <v>2047.5</v>
      </c>
      <c r="CX34" s="2401">
        <f t="shared" si="32"/>
        <v>2203.5</v>
      </c>
      <c r="CY34" s="2401">
        <f t="shared" si="32"/>
        <v>2652</v>
      </c>
      <c r="CZ34" s="2401">
        <f t="shared" si="32"/>
        <v>2301</v>
      </c>
      <c r="DA34" s="2401">
        <f t="shared" si="32"/>
        <v>2769</v>
      </c>
      <c r="DB34" s="2401">
        <f t="shared" si="32"/>
        <v>2710.5</v>
      </c>
      <c r="DC34" s="2401">
        <f t="shared" si="32"/>
        <v>2710.5</v>
      </c>
      <c r="DD34" s="2401">
        <f t="shared" si="32"/>
        <v>5050.5</v>
      </c>
      <c r="DE34" s="2401">
        <f t="shared" si="32"/>
        <v>5050.5</v>
      </c>
      <c r="DF34" s="2401">
        <f t="shared" si="32"/>
        <v>5050.5</v>
      </c>
      <c r="DG34" s="2401">
        <f t="shared" si="32"/>
        <v>1228.5</v>
      </c>
      <c r="DH34" s="2401">
        <f t="shared" si="32"/>
        <v>1462.5</v>
      </c>
      <c r="DI34" s="2401">
        <f t="shared" si="32"/>
        <v>682.5</v>
      </c>
      <c r="DJ34" s="2401">
        <f t="shared" si="32"/>
        <v>0</v>
      </c>
      <c r="DK34" s="2401">
        <f t="shared" si="32"/>
        <v>5109</v>
      </c>
      <c r="DL34" s="2401">
        <f t="shared" si="32"/>
        <v>9321</v>
      </c>
      <c r="DM34" s="2401">
        <f t="shared" si="32"/>
        <v>2359.5</v>
      </c>
      <c r="DN34" s="2401">
        <f t="shared" si="32"/>
        <v>0</v>
      </c>
      <c r="DO34" s="2401">
        <f t="shared" si="32"/>
        <v>0</v>
      </c>
      <c r="DP34" s="2401">
        <f t="shared" si="32"/>
        <v>13611</v>
      </c>
      <c r="DQ34" s="2401">
        <f t="shared" si="32"/>
        <v>0</v>
      </c>
      <c r="DR34" s="2401">
        <f t="shared" si="32"/>
        <v>0</v>
      </c>
      <c r="DS34" s="2401">
        <f t="shared" si="32"/>
        <v>0</v>
      </c>
      <c r="DT34" s="2401">
        <f t="shared" si="32"/>
        <v>0</v>
      </c>
      <c r="DU34" s="2401">
        <f t="shared" si="32"/>
        <v>0</v>
      </c>
      <c r="DV34" s="2401">
        <f t="shared" si="32"/>
        <v>0</v>
      </c>
      <c r="DW34" s="2401">
        <f t="shared" si="32"/>
        <v>0</v>
      </c>
      <c r="DX34" s="2401">
        <f t="shared" si="32"/>
        <v>0</v>
      </c>
      <c r="DY34" s="2401">
        <f t="shared" si="32"/>
        <v>0</v>
      </c>
      <c r="DZ34" s="2401">
        <f t="shared" si="32"/>
        <v>0</v>
      </c>
      <c r="EA34" s="2401">
        <f t="shared" si="32"/>
        <v>18821.400000000001</v>
      </c>
      <c r="EB34" s="2401">
        <f t="shared" si="32"/>
        <v>11763.375</v>
      </c>
      <c r="EC34" s="2401">
        <f t="shared" si="32"/>
        <v>2352.6750000000002</v>
      </c>
      <c r="ED34" s="2401">
        <f t="shared" ref="ED34" si="33">ED19*$C$25</f>
        <v>0</v>
      </c>
    </row>
    <row r="35" spans="1:134" s="838" customFormat="1" ht="24.6" hidden="1" customHeight="1" outlineLevel="1">
      <c r="A35" s="2395"/>
      <c r="B35" s="471"/>
      <c r="C35" s="471"/>
      <c r="D35" s="300"/>
      <c r="E35" s="300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557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471"/>
      <c r="AP35" s="61"/>
      <c r="AQ35" s="61"/>
      <c r="AR35" s="471"/>
      <c r="AS35" s="471"/>
      <c r="AT35" s="471"/>
      <c r="AU35" s="471"/>
      <c r="AV35" s="471"/>
      <c r="AW35" s="471"/>
      <c r="AX35" s="471"/>
      <c r="AY35" s="471"/>
      <c r="AZ35" s="471"/>
      <c r="BA35" s="471"/>
      <c r="BB35" s="471"/>
      <c r="BC35" s="471"/>
      <c r="BD35" s="471"/>
      <c r="BE35" s="471"/>
      <c r="BF35" s="471"/>
      <c r="BG35" s="471"/>
      <c r="BH35" s="471"/>
      <c r="BI35" s="1677"/>
      <c r="BJ35" s="471"/>
      <c r="BK35" s="471"/>
      <c r="BL35" s="471"/>
      <c r="BM35" s="471"/>
      <c r="BN35" s="471"/>
      <c r="BO35" s="471"/>
      <c r="BP35" s="471"/>
      <c r="BQ35" s="471"/>
      <c r="BR35" s="471"/>
      <c r="BS35" s="471"/>
      <c r="BT35" s="471"/>
      <c r="BU35" s="471"/>
      <c r="BV35" s="471"/>
      <c r="BW35" s="471"/>
      <c r="BX35" s="471"/>
      <c r="BY35" s="471"/>
      <c r="BZ35" s="471"/>
      <c r="CA35" s="471"/>
      <c r="CB35" s="471"/>
      <c r="CC35" s="471"/>
      <c r="CD35" s="471"/>
      <c r="CE35" s="471"/>
      <c r="CF35" s="471"/>
      <c r="CG35" s="471"/>
      <c r="CH35" s="471"/>
      <c r="CI35" s="471"/>
      <c r="CJ35" s="471"/>
      <c r="CK35" s="471"/>
      <c r="CL35" s="471"/>
      <c r="CM35" s="471"/>
      <c r="CN35" s="471"/>
      <c r="CO35" s="471"/>
      <c r="CP35" s="471"/>
      <c r="CR35" s="2365"/>
      <c r="CS35" s="2365"/>
      <c r="CT35" s="2365"/>
      <c r="CU35" s="883"/>
      <c r="CV35" s="883"/>
      <c r="CW35" s="883"/>
      <c r="CX35" s="883"/>
      <c r="CY35" s="883"/>
      <c r="CZ35" s="883"/>
      <c r="DA35" s="883"/>
      <c r="DB35" s="883"/>
      <c r="DC35" s="883"/>
      <c r="DD35" s="883"/>
      <c r="DE35" s="883"/>
      <c r="DF35" s="883"/>
      <c r="DG35" s="883"/>
      <c r="DH35" s="883"/>
      <c r="DI35" s="883"/>
      <c r="DJ35" s="883"/>
      <c r="DK35" s="883"/>
      <c r="DL35" s="883"/>
      <c r="DM35" s="883"/>
      <c r="DN35" s="883"/>
      <c r="DO35" s="883"/>
      <c r="DP35" s="883"/>
    </row>
    <row r="36" spans="1:134" s="838" customFormat="1" ht="24.6" hidden="1" customHeight="1" outlineLevel="1">
      <c r="A36" s="2395" t="s">
        <v>2200</v>
      </c>
      <c r="B36" s="471"/>
      <c r="C36" s="471"/>
      <c r="D36" s="300"/>
      <c r="E36" s="300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557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471"/>
      <c r="AP36" s="61"/>
      <c r="AQ36" s="6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471"/>
      <c r="BC36" s="471"/>
      <c r="BD36" s="471"/>
      <c r="BE36" s="471"/>
      <c r="BF36" s="471"/>
      <c r="BG36" s="471"/>
      <c r="BH36" s="471"/>
      <c r="BI36" s="1677"/>
      <c r="BJ36" s="471"/>
      <c r="BK36" s="471"/>
      <c r="BL36" s="471"/>
      <c r="BM36" s="471"/>
      <c r="BN36" s="471"/>
      <c r="BO36" s="471"/>
      <c r="BP36" s="471"/>
      <c r="BQ36" s="471"/>
      <c r="BR36" s="471"/>
      <c r="BS36" s="471"/>
      <c r="BT36" s="471"/>
      <c r="BU36" s="471"/>
      <c r="BV36" s="471"/>
      <c r="BW36" s="471"/>
      <c r="BX36" s="471"/>
      <c r="BY36" s="471"/>
      <c r="BZ36" s="471"/>
      <c r="CA36" s="471"/>
      <c r="CB36" s="471"/>
      <c r="CC36" s="471"/>
      <c r="CD36" s="471"/>
      <c r="CE36" s="471"/>
      <c r="CF36" s="471"/>
      <c r="CG36" s="471"/>
      <c r="CH36" s="471"/>
      <c r="CI36" s="471"/>
      <c r="CJ36" s="471"/>
      <c r="CK36" s="471"/>
      <c r="CL36" s="471"/>
      <c r="CM36" s="471"/>
      <c r="CN36" s="471"/>
      <c r="CO36" s="471"/>
      <c r="CP36" s="471"/>
      <c r="CR36" s="331"/>
      <c r="CS36" s="331"/>
      <c r="CT36" s="331"/>
      <c r="CU36" s="883"/>
      <c r="CV36" s="883"/>
      <c r="CW36" s="883"/>
      <c r="CX36" s="883"/>
      <c r="CY36" s="883"/>
      <c r="CZ36" s="883"/>
      <c r="DA36" s="883"/>
      <c r="DB36" s="883"/>
      <c r="DC36" s="883"/>
      <c r="DD36" s="883"/>
      <c r="DE36" s="883"/>
      <c r="DF36" s="883"/>
      <c r="DG36" s="883"/>
      <c r="DH36" s="883"/>
      <c r="DI36" s="883"/>
      <c r="DJ36" s="883"/>
      <c r="DK36" s="883"/>
      <c r="DL36" s="883"/>
      <c r="DM36" s="883"/>
      <c r="DN36" s="883"/>
      <c r="DO36" s="883"/>
      <c r="DP36" s="883"/>
    </row>
    <row r="37" spans="1:134" s="838" customFormat="1" ht="64.900000000000006" hidden="1" customHeight="1" outlineLevel="1">
      <c r="A37" s="2402"/>
      <c r="B37" s="1284"/>
      <c r="C37" s="1284"/>
      <c r="D37" s="2403" t="s">
        <v>1624</v>
      </c>
      <c r="E37" s="2404" t="s">
        <v>719</v>
      </c>
      <c r="F37" s="2403" t="s">
        <v>1625</v>
      </c>
      <c r="G37" s="2403" t="s">
        <v>1626</v>
      </c>
      <c r="H37" s="1325"/>
      <c r="I37" s="1325"/>
      <c r="J37" s="2403" t="s">
        <v>1627</v>
      </c>
      <c r="K37" s="2403" t="s">
        <v>1629</v>
      </c>
      <c r="L37" s="2403" t="s">
        <v>1628</v>
      </c>
      <c r="M37" s="2403" t="s">
        <v>1630</v>
      </c>
      <c r="N37" s="2403" t="s">
        <v>1631</v>
      </c>
      <c r="O37" s="2403" t="s">
        <v>1632</v>
      </c>
      <c r="P37" s="2403" t="s">
        <v>1633</v>
      </c>
      <c r="Q37" s="2403" t="s">
        <v>1634</v>
      </c>
      <c r="R37" s="2405" t="s">
        <v>1640</v>
      </c>
      <c r="S37" s="2405" t="s">
        <v>1641</v>
      </c>
      <c r="T37" s="2403" t="s">
        <v>1642</v>
      </c>
      <c r="U37" s="2403" t="s">
        <v>1643</v>
      </c>
      <c r="V37" s="2403" t="s">
        <v>1644</v>
      </c>
      <c r="W37" s="2403" t="s">
        <v>1645</v>
      </c>
      <c r="X37" s="2405" t="s">
        <v>1646</v>
      </c>
      <c r="Y37" s="2403" t="s">
        <v>1647</v>
      </c>
      <c r="Z37" s="2403" t="s">
        <v>1635</v>
      </c>
      <c r="AA37" s="2403" t="s">
        <v>1636</v>
      </c>
      <c r="AB37" s="2403" t="s">
        <v>1637</v>
      </c>
      <c r="AC37" s="2406"/>
      <c r="AD37" s="1325"/>
      <c r="AE37" s="1325"/>
      <c r="AF37" s="1325"/>
      <c r="AG37" s="1325"/>
      <c r="AH37" s="2407" t="s">
        <v>1683</v>
      </c>
      <c r="AI37" s="2407" t="s">
        <v>1684</v>
      </c>
      <c r="AJ37" s="2397"/>
      <c r="AK37" s="2397"/>
      <c r="AL37" s="2407" t="s">
        <v>1685</v>
      </c>
      <c r="AM37" s="2397"/>
      <c r="AN37" s="2397"/>
      <c r="AO37" s="1284"/>
      <c r="AP37" s="1325"/>
      <c r="AQ37" s="1325"/>
      <c r="AR37" s="1284"/>
      <c r="AS37" s="2407" t="s">
        <v>1703</v>
      </c>
      <c r="AT37" s="2403" t="s">
        <v>1639</v>
      </c>
      <c r="AU37" s="1284"/>
      <c r="AV37" s="2403" t="s">
        <v>1638</v>
      </c>
      <c r="AW37" s="1284"/>
      <c r="AX37" s="2407" t="s">
        <v>1686</v>
      </c>
      <c r="AY37" s="2407" t="s">
        <v>1687</v>
      </c>
      <c r="AZ37" s="2407" t="s">
        <v>1688</v>
      </c>
      <c r="BA37" s="2407" t="s">
        <v>1689</v>
      </c>
      <c r="BB37" s="2407" t="s">
        <v>1690</v>
      </c>
      <c r="BC37" s="2407" t="s">
        <v>1691</v>
      </c>
      <c r="BD37" s="2407" t="s">
        <v>1692</v>
      </c>
      <c r="BE37" s="2407" t="s">
        <v>1693</v>
      </c>
      <c r="BF37" s="2407" t="s">
        <v>1694</v>
      </c>
      <c r="BG37" s="2408" t="s">
        <v>1695</v>
      </c>
      <c r="BH37" s="1284"/>
      <c r="BI37" s="2409"/>
      <c r="BJ37" s="2407" t="s">
        <v>1696</v>
      </c>
      <c r="BK37" s="2407" t="s">
        <v>1697</v>
      </c>
      <c r="BL37" s="2407" t="s">
        <v>1698</v>
      </c>
      <c r="BM37" s="2407" t="s">
        <v>1699</v>
      </c>
      <c r="BN37" s="2407" t="s">
        <v>1700</v>
      </c>
      <c r="BO37" s="2407" t="s">
        <v>1701</v>
      </c>
      <c r="BP37" s="2407" t="s">
        <v>1702</v>
      </c>
      <c r="BQ37" s="2407" t="s">
        <v>1659</v>
      </c>
      <c r="BR37" s="2407" t="s">
        <v>1660</v>
      </c>
      <c r="BS37" s="2407" t="s">
        <v>1661</v>
      </c>
      <c r="BT37" s="2407" t="s">
        <v>1662</v>
      </c>
      <c r="BU37" s="2407" t="s">
        <v>1663</v>
      </c>
      <c r="BV37" s="2407" t="s">
        <v>1664</v>
      </c>
      <c r="BW37" s="2407" t="s">
        <v>1665</v>
      </c>
      <c r="BX37" s="2407" t="s">
        <v>1666</v>
      </c>
      <c r="BY37" s="2397"/>
      <c r="BZ37" s="2397"/>
      <c r="CA37" s="2397"/>
      <c r="CB37" s="2407" t="s">
        <v>1667</v>
      </c>
      <c r="CC37" s="2407" t="s">
        <v>1668</v>
      </c>
      <c r="CD37" s="2407" t="s">
        <v>1669</v>
      </c>
      <c r="CE37" s="2407" t="s">
        <v>1670</v>
      </c>
      <c r="CF37" s="2407" t="s">
        <v>1671</v>
      </c>
      <c r="CG37" s="2407" t="s">
        <v>1672</v>
      </c>
      <c r="CH37" s="2407" t="s">
        <v>1673</v>
      </c>
      <c r="CI37" s="2407" t="s">
        <v>1674</v>
      </c>
      <c r="CJ37" s="2407" t="s">
        <v>1675</v>
      </c>
      <c r="CK37" s="2407" t="s">
        <v>1676</v>
      </c>
      <c r="CL37" s="2407" t="s">
        <v>1677</v>
      </c>
      <c r="CM37" s="2407" t="s">
        <v>1678</v>
      </c>
      <c r="CN37" s="2397"/>
      <c r="CO37" s="2397"/>
      <c r="CP37" s="2397"/>
      <c r="CQ37" s="2407" t="s">
        <v>1679</v>
      </c>
      <c r="CR37" s="2407" t="s">
        <v>1680</v>
      </c>
      <c r="CS37" s="2407" t="s">
        <v>1681</v>
      </c>
      <c r="CT37" s="2407" t="s">
        <v>1682</v>
      </c>
      <c r="CU37" s="2397"/>
      <c r="CV37" s="2403" t="s">
        <v>1648</v>
      </c>
      <c r="CW37" s="2403" t="s">
        <v>1649</v>
      </c>
      <c r="CX37" s="2403" t="s">
        <v>1655</v>
      </c>
      <c r="CY37" s="2407" t="s">
        <v>1657</v>
      </c>
      <c r="CZ37" s="2403" t="s">
        <v>1650</v>
      </c>
      <c r="DA37" s="2403" t="s">
        <v>1651</v>
      </c>
      <c r="DB37" s="2403" t="s">
        <v>1652</v>
      </c>
      <c r="DC37" s="2403" t="s">
        <v>1653</v>
      </c>
      <c r="DD37" s="2403" t="s">
        <v>1654</v>
      </c>
      <c r="DE37" s="2403"/>
      <c r="DF37" s="2403"/>
      <c r="DG37" s="2397"/>
      <c r="DH37" s="2407" t="s">
        <v>1656</v>
      </c>
      <c r="DI37" s="2407" t="s">
        <v>1658</v>
      </c>
      <c r="DJ37" s="2397"/>
      <c r="DK37" s="2397"/>
      <c r="DL37" s="2407"/>
      <c r="DM37" s="2397"/>
      <c r="DN37" s="2397"/>
      <c r="DO37" s="2397"/>
      <c r="DP37" s="2397"/>
      <c r="DQ37" s="2397"/>
      <c r="DR37" s="2397"/>
      <c r="DS37" s="2397"/>
      <c r="DT37" s="2397"/>
      <c r="DU37" s="2397"/>
      <c r="DV37" s="2397"/>
      <c r="DW37" s="2397"/>
      <c r="DX37" s="2397"/>
      <c r="DY37" s="2397"/>
      <c r="DZ37" s="2397"/>
      <c r="EA37" s="2397"/>
      <c r="EB37" s="2397"/>
      <c r="EC37" s="2397"/>
      <c r="ED37" s="2397"/>
    </row>
    <row r="38" spans="1:134" s="838" customFormat="1" ht="24.6" hidden="1" customHeight="1" outlineLevel="1">
      <c r="A38" s="2410"/>
      <c r="B38" s="2411" t="s">
        <v>18</v>
      </c>
      <c r="C38" s="2397"/>
      <c r="D38" s="1284">
        <v>2450</v>
      </c>
      <c r="E38" s="2404">
        <v>4900</v>
      </c>
      <c r="F38" s="1284">
        <v>2450</v>
      </c>
      <c r="G38" s="1284">
        <v>2710</v>
      </c>
      <c r="H38" s="1325">
        <v>2450</v>
      </c>
      <c r="I38" s="1325">
        <v>2450</v>
      </c>
      <c r="J38" s="1284">
        <v>5000</v>
      </c>
      <c r="K38" s="1284">
        <v>4680</v>
      </c>
      <c r="L38" s="1284">
        <v>4160</v>
      </c>
      <c r="M38" s="1284">
        <v>1360</v>
      </c>
      <c r="N38" s="1284">
        <v>1560</v>
      </c>
      <c r="O38" s="1284">
        <v>1560</v>
      </c>
      <c r="P38" s="1284">
        <v>1720</v>
      </c>
      <c r="Q38" s="1284">
        <v>2140</v>
      </c>
      <c r="R38" s="1284">
        <v>1770</v>
      </c>
      <c r="S38" s="1284">
        <v>2140</v>
      </c>
      <c r="T38" s="1284">
        <v>2400</v>
      </c>
      <c r="U38" s="1284">
        <v>2400</v>
      </c>
      <c r="V38" s="1284">
        <v>2860</v>
      </c>
      <c r="W38" s="1284">
        <v>3070</v>
      </c>
      <c r="X38" s="1284">
        <v>3590</v>
      </c>
      <c r="Y38" s="1284">
        <v>4060</v>
      </c>
      <c r="Z38" s="1284">
        <v>1460</v>
      </c>
      <c r="AA38" s="1284">
        <v>2290</v>
      </c>
      <c r="AB38" s="1284">
        <v>3590</v>
      </c>
      <c r="AC38" s="2406"/>
      <c r="AD38" s="1325"/>
      <c r="AE38" s="1325"/>
      <c r="AF38" s="1325"/>
      <c r="AG38" s="1325"/>
      <c r="AH38" s="1284">
        <v>1360</v>
      </c>
      <c r="AI38" s="1284">
        <v>2140</v>
      </c>
      <c r="AJ38" s="2397"/>
      <c r="AK38" s="2397"/>
      <c r="AL38" s="1284">
        <v>2140</v>
      </c>
      <c r="AM38" s="2397"/>
      <c r="AN38" s="2397"/>
      <c r="AO38" s="1284"/>
      <c r="AP38" s="1325"/>
      <c r="AQ38" s="1325"/>
      <c r="AR38" s="1284"/>
      <c r="AS38" s="1284">
        <v>160</v>
      </c>
      <c r="AT38" s="1284">
        <v>800</v>
      </c>
      <c r="AU38" s="1284"/>
      <c r="AV38" s="1284">
        <v>2140</v>
      </c>
      <c r="AW38" s="1284">
        <v>540</v>
      </c>
      <c r="AX38" s="1284">
        <v>1150</v>
      </c>
      <c r="AY38" s="1284">
        <v>1510</v>
      </c>
      <c r="AZ38" s="1284">
        <v>1620</v>
      </c>
      <c r="BA38" s="1284">
        <v>1200</v>
      </c>
      <c r="BB38" s="1284">
        <v>1620</v>
      </c>
      <c r="BC38" s="1284">
        <v>1720</v>
      </c>
      <c r="BD38" s="1284">
        <v>2140</v>
      </c>
      <c r="BE38" s="1284">
        <v>2340</v>
      </c>
      <c r="BF38" s="1284">
        <v>2760</v>
      </c>
      <c r="BG38" s="1284">
        <v>1560</v>
      </c>
      <c r="BH38" s="1284">
        <v>1350</v>
      </c>
      <c r="BI38" s="2409">
        <v>1100</v>
      </c>
      <c r="BJ38" s="1284">
        <v>2340</v>
      </c>
      <c r="BK38" s="1284">
        <v>2660</v>
      </c>
      <c r="BL38" s="1284">
        <v>3850</v>
      </c>
      <c r="BM38" s="1284">
        <v>890</v>
      </c>
      <c r="BN38" s="1284">
        <v>1040</v>
      </c>
      <c r="BO38" s="1284">
        <v>1360</v>
      </c>
      <c r="BP38" s="1284">
        <v>5830</v>
      </c>
      <c r="BQ38" s="1284">
        <v>1100</v>
      </c>
      <c r="BR38" s="1284">
        <v>1160</v>
      </c>
      <c r="BS38" s="1284">
        <v>1210</v>
      </c>
      <c r="BT38" s="1284">
        <v>1310</v>
      </c>
      <c r="BU38" s="1284">
        <v>1160</v>
      </c>
      <c r="BV38" s="1284">
        <v>1210</v>
      </c>
      <c r="BW38" s="1284">
        <v>1310</v>
      </c>
      <c r="BX38" s="1284">
        <v>1380</v>
      </c>
      <c r="BY38" s="2397"/>
      <c r="BZ38" s="2397"/>
      <c r="CA38" s="2397"/>
      <c r="CB38" s="1284">
        <v>1210</v>
      </c>
      <c r="CC38" s="1284">
        <v>1390</v>
      </c>
      <c r="CD38" s="1284">
        <v>1380</v>
      </c>
      <c r="CE38" s="1284">
        <v>1600</v>
      </c>
      <c r="CF38" s="1284">
        <v>1510</v>
      </c>
      <c r="CG38" s="1284">
        <v>1620</v>
      </c>
      <c r="CH38" s="1284">
        <v>1670</v>
      </c>
      <c r="CI38" s="1284">
        <v>1720</v>
      </c>
      <c r="CJ38" s="1284">
        <v>1620</v>
      </c>
      <c r="CK38" s="1284">
        <v>1670</v>
      </c>
      <c r="CL38" s="1284">
        <v>1720</v>
      </c>
      <c r="CM38" s="1284">
        <v>1820</v>
      </c>
      <c r="CN38" s="2397"/>
      <c r="CO38" s="2397"/>
      <c r="CP38" s="2397"/>
      <c r="CQ38" s="1284">
        <v>1670</v>
      </c>
      <c r="CR38" s="1284">
        <v>1720</v>
      </c>
      <c r="CS38" s="1284">
        <v>1820</v>
      </c>
      <c r="CT38" s="1284">
        <v>2140</v>
      </c>
      <c r="CU38" s="2397"/>
      <c r="CV38" s="1284">
        <v>3440</v>
      </c>
      <c r="CW38" s="1284">
        <v>4060</v>
      </c>
      <c r="CX38" s="1284">
        <v>4370</v>
      </c>
      <c r="CY38" s="1284">
        <v>5260</v>
      </c>
      <c r="CZ38" s="1284">
        <v>4480</v>
      </c>
      <c r="DA38" s="1284">
        <v>5360</v>
      </c>
      <c r="DB38" s="1284">
        <v>5260</v>
      </c>
      <c r="DC38" s="1284">
        <v>5360</v>
      </c>
      <c r="DD38" s="1284">
        <v>9940</v>
      </c>
      <c r="DE38" s="1284"/>
      <c r="DF38" s="1284"/>
      <c r="DG38" s="2397"/>
      <c r="DH38" s="1284">
        <v>2920</v>
      </c>
      <c r="DI38" s="1284">
        <v>1160</v>
      </c>
      <c r="DJ38" s="2397"/>
      <c r="DK38" s="2397"/>
      <c r="DL38" s="1284"/>
      <c r="DM38" s="2397"/>
      <c r="DN38" s="2397"/>
      <c r="DO38" s="2397"/>
      <c r="DP38" s="2397"/>
      <c r="DQ38" s="2397"/>
      <c r="DR38" s="2397"/>
      <c r="DS38" s="2397"/>
      <c r="DT38" s="2397"/>
      <c r="DU38" s="2397"/>
      <c r="DV38" s="2397"/>
      <c r="DW38" s="2397"/>
      <c r="DX38" s="2397"/>
      <c r="DY38" s="2397"/>
      <c r="DZ38" s="2397"/>
      <c r="EA38" s="2397"/>
      <c r="EB38" s="2397"/>
      <c r="EC38" s="2397"/>
      <c r="ED38" s="2397"/>
    </row>
    <row r="39" spans="1:134" s="838" customFormat="1" ht="24.6" hidden="1" customHeight="1" outlineLevel="1">
      <c r="A39" s="2402"/>
      <c r="B39" s="1284" t="s">
        <v>1623</v>
      </c>
      <c r="C39" s="1284"/>
      <c r="D39" s="2412">
        <f t="shared" ref="D39:AB39" si="34">D15/D38-1</f>
        <v>5.3061224489795888E-2</v>
      </c>
      <c r="E39" s="2412">
        <f t="shared" si="34"/>
        <v>5.3061224489795888E-2</v>
      </c>
      <c r="F39" s="2412">
        <f t="shared" si="34"/>
        <v>5.3061224489795888E-2</v>
      </c>
      <c r="G39" s="2412">
        <f t="shared" si="34"/>
        <v>4.7970479704797064E-2</v>
      </c>
      <c r="H39" s="2412">
        <f t="shared" si="34"/>
        <v>5.3061224489795888E-2</v>
      </c>
      <c r="I39" s="2412">
        <f t="shared" si="34"/>
        <v>5.3061224489795888E-2</v>
      </c>
      <c r="J39" s="2412">
        <f t="shared" si="34"/>
        <v>5.4000000000000048E-2</v>
      </c>
      <c r="K39" s="2412">
        <f t="shared" si="34"/>
        <v>2.1367521367521292E-2</v>
      </c>
      <c r="L39" s="2412">
        <f t="shared" si="34"/>
        <v>5.5288461538461453E-2</v>
      </c>
      <c r="M39" s="2412">
        <f t="shared" si="34"/>
        <v>4.4117647058823595E-2</v>
      </c>
      <c r="N39" s="2412">
        <f t="shared" si="34"/>
        <v>5.1282051282051322E-2</v>
      </c>
      <c r="O39" s="2412">
        <f t="shared" si="34"/>
        <v>5.1282051282051322E-2</v>
      </c>
      <c r="P39" s="2412">
        <f t="shared" si="34"/>
        <v>5.232558139534893E-2</v>
      </c>
      <c r="Q39" s="2412">
        <f t="shared" si="34"/>
        <v>6.0747663551401931E-2</v>
      </c>
      <c r="R39" s="2412">
        <f t="shared" si="34"/>
        <v>0.12994350282485878</v>
      </c>
      <c r="S39" s="2412">
        <f t="shared" si="34"/>
        <v>7.4766355140186924E-2</v>
      </c>
      <c r="T39" s="2412">
        <f t="shared" si="34"/>
        <v>4.1666666666666741E-2</v>
      </c>
      <c r="U39" s="2412">
        <f t="shared" si="34"/>
        <v>5.4166666666666696E-2</v>
      </c>
      <c r="V39" s="2412">
        <f t="shared" si="34"/>
        <v>4.8951048951048959E-2</v>
      </c>
      <c r="W39" s="2412">
        <f t="shared" si="34"/>
        <v>4.5602605863192203E-2</v>
      </c>
      <c r="X39" s="2412">
        <f t="shared" si="34"/>
        <v>4.4568245125348183E-2</v>
      </c>
      <c r="Y39" s="2412">
        <f t="shared" si="34"/>
        <v>0.10837438423645329</v>
      </c>
      <c r="Z39" s="2412">
        <f t="shared" si="34"/>
        <v>2.7397260273972712E-2</v>
      </c>
      <c r="AA39" s="2412">
        <f t="shared" si="34"/>
        <v>4.8034934497816595E-2</v>
      </c>
      <c r="AB39" s="2412">
        <f t="shared" si="34"/>
        <v>4.4568245125348183E-2</v>
      </c>
      <c r="AC39" s="2412"/>
      <c r="AD39" s="2412"/>
      <c r="AE39" s="2412"/>
      <c r="AF39" s="2412"/>
      <c r="AG39" s="2412"/>
      <c r="AH39" s="2412">
        <f>AH15/AH38-1</f>
        <v>4.4117647058823595E-2</v>
      </c>
      <c r="AI39" s="2412">
        <f>AI15/AI38-1</f>
        <v>3.2710280373831724E-2</v>
      </c>
      <c r="AJ39" s="2412"/>
      <c r="AK39" s="2412"/>
      <c r="AL39" s="2412">
        <f>AL15/AL38-1</f>
        <v>3.2710280373831724E-2</v>
      </c>
      <c r="AM39" s="2412"/>
      <c r="AN39" s="2412"/>
      <c r="AO39" s="2412"/>
      <c r="AP39" s="2412"/>
      <c r="AQ39" s="2412"/>
      <c r="AR39" s="2412"/>
      <c r="AS39" s="2412">
        <f>AS15/AS38-1</f>
        <v>6.25E-2</v>
      </c>
      <c r="AT39" s="2412">
        <f>AT15/AT38-1</f>
        <v>7.4999999999999956E-2</v>
      </c>
      <c r="AU39" s="2412"/>
      <c r="AV39" s="2412">
        <f t="shared" ref="AV39:BX39" si="35">AV15/AV38-1</f>
        <v>3.2710280373831724E-2</v>
      </c>
      <c r="AW39" s="2412">
        <f t="shared" si="35"/>
        <v>5.555555555555558E-2</v>
      </c>
      <c r="AX39" s="2412">
        <f t="shared" si="35"/>
        <v>5.2173913043478182E-2</v>
      </c>
      <c r="AY39" s="2412">
        <f t="shared" si="35"/>
        <v>3.3112582781456901E-2</v>
      </c>
      <c r="AZ39" s="2412">
        <f t="shared" si="35"/>
        <v>6.1728395061728447E-2</v>
      </c>
      <c r="BA39" s="2412">
        <f t="shared" si="35"/>
        <v>6.6666666666666652E-2</v>
      </c>
      <c r="BB39" s="2412">
        <f t="shared" si="35"/>
        <v>1.2345679012345734E-2</v>
      </c>
      <c r="BC39" s="2412">
        <f t="shared" si="35"/>
        <v>5.232558139534893E-2</v>
      </c>
      <c r="BD39" s="2412">
        <f t="shared" si="35"/>
        <v>5.1401869158878455E-2</v>
      </c>
      <c r="BE39" s="2412">
        <f t="shared" si="35"/>
        <v>2.9914529914529808E-2</v>
      </c>
      <c r="BF39" s="2412">
        <f t="shared" si="35"/>
        <v>-2.8985507246376829E-2</v>
      </c>
      <c r="BG39" s="2412">
        <f t="shared" si="35"/>
        <v>-3.8461538461538436E-2</v>
      </c>
      <c r="BH39" s="2412">
        <f t="shared" si="35"/>
        <v>5.1851851851851816E-2</v>
      </c>
      <c r="BI39" s="2412">
        <f t="shared" si="35"/>
        <v>0</v>
      </c>
      <c r="BJ39" s="2412">
        <f t="shared" si="35"/>
        <v>5.1282051282051322E-2</v>
      </c>
      <c r="BK39" s="2412">
        <f t="shared" si="35"/>
        <v>6.3909774436090139E-2</v>
      </c>
      <c r="BL39" s="2412">
        <f t="shared" si="35"/>
        <v>3.1168831168831179E-2</v>
      </c>
      <c r="BM39" s="2412">
        <f t="shared" si="35"/>
        <v>-2.2471910112359605E-2</v>
      </c>
      <c r="BN39" s="2412">
        <f t="shared" si="35"/>
        <v>-3.8461538461538436E-2</v>
      </c>
      <c r="BO39" s="2412">
        <f t="shared" si="35"/>
        <v>2.2058823529411686E-2</v>
      </c>
      <c r="BP39" s="2412">
        <f t="shared" si="35"/>
        <v>5.6603773584905648E-2</v>
      </c>
      <c r="BQ39" s="2412">
        <f t="shared" si="35"/>
        <v>-9.0909090909090939E-2</v>
      </c>
      <c r="BR39" s="2412">
        <f t="shared" si="35"/>
        <v>-9.4827586206896575E-2</v>
      </c>
      <c r="BS39" s="2412">
        <f t="shared" si="35"/>
        <v>-8.2644628099173501E-2</v>
      </c>
      <c r="BT39" s="2412">
        <f t="shared" si="35"/>
        <v>-0.10687022900763354</v>
      </c>
      <c r="BU39" s="2412">
        <f t="shared" si="35"/>
        <v>-9.4827586206896575E-2</v>
      </c>
      <c r="BV39" s="2412">
        <f t="shared" si="35"/>
        <v>-8.2644628099173501E-2</v>
      </c>
      <c r="BW39" s="2412">
        <f t="shared" si="35"/>
        <v>-0.10687022900763354</v>
      </c>
      <c r="BX39" s="2412">
        <f t="shared" si="35"/>
        <v>-0.10869565217391308</v>
      </c>
      <c r="BY39" s="2412"/>
      <c r="BZ39" s="2412"/>
      <c r="CA39" s="2412"/>
      <c r="CB39" s="2412">
        <f t="shared" ref="CB39:CM39" si="36">CB15/CB38-1</f>
        <v>-9.0909090909090939E-2</v>
      </c>
      <c r="CC39" s="2412">
        <f t="shared" si="36"/>
        <v>-0.16546762589928055</v>
      </c>
      <c r="CD39" s="2412">
        <f t="shared" si="36"/>
        <v>-0.10869565217391308</v>
      </c>
      <c r="CE39" s="2412">
        <f t="shared" si="36"/>
        <v>-0.11250000000000004</v>
      </c>
      <c r="CF39" s="2412">
        <f t="shared" si="36"/>
        <v>-0.10596026490066224</v>
      </c>
      <c r="CG39" s="2412">
        <f t="shared" si="36"/>
        <v>-0.12345679012345678</v>
      </c>
      <c r="CH39" s="2412">
        <f t="shared" si="36"/>
        <v>-0.10179640718562877</v>
      </c>
      <c r="CI39" s="2412">
        <f t="shared" si="36"/>
        <v>-8.1395348837209336E-2</v>
      </c>
      <c r="CJ39" s="2412">
        <f t="shared" si="36"/>
        <v>-0.12345679012345678</v>
      </c>
      <c r="CK39" s="2412">
        <f t="shared" si="36"/>
        <v>-0.10179640718562877</v>
      </c>
      <c r="CL39" s="2412">
        <f t="shared" si="36"/>
        <v>-8.1395348837209336E-2</v>
      </c>
      <c r="CM39" s="2412">
        <f t="shared" si="36"/>
        <v>-8.2417582417582458E-2</v>
      </c>
      <c r="CN39" s="2412"/>
      <c r="CO39" s="2412"/>
      <c r="CP39" s="2412"/>
      <c r="CQ39" s="2412">
        <f>CQ15/CQ38-1</f>
        <v>-0.10778443113772451</v>
      </c>
      <c r="CR39" s="2412">
        <f>CR15/CR38-1</f>
        <v>-8.7209302325581439E-2</v>
      </c>
      <c r="CS39" s="2412">
        <f>CS15/CS38-1</f>
        <v>-8.2417582417582458E-2</v>
      </c>
      <c r="CT39" s="2412">
        <f>CT15/CT38-1</f>
        <v>-0.10280373831775702</v>
      </c>
      <c r="CU39" s="2412"/>
      <c r="CV39" s="2412">
        <f t="shared" ref="CV39:DD39" si="37">CV15/CV38-1</f>
        <v>6.6860465116278966E-2</v>
      </c>
      <c r="CW39" s="2412">
        <f t="shared" si="37"/>
        <v>4.1871921182266014E-2</v>
      </c>
      <c r="CX39" s="2412">
        <f t="shared" si="37"/>
        <v>5.034324942791768E-2</v>
      </c>
      <c r="CY39" s="2412">
        <f t="shared" si="37"/>
        <v>4.7528517110266177E-2</v>
      </c>
      <c r="CZ39" s="2412">
        <f t="shared" si="37"/>
        <v>6.6964285714285809E-2</v>
      </c>
      <c r="DA39" s="2412">
        <f t="shared" si="37"/>
        <v>7.0895522388059629E-2</v>
      </c>
      <c r="DB39" s="2412">
        <f t="shared" si="37"/>
        <v>7.0342205323193907E-2</v>
      </c>
      <c r="DC39" s="2412">
        <f t="shared" si="37"/>
        <v>5.0373134328358216E-2</v>
      </c>
      <c r="DD39" s="2412">
        <f t="shared" si="37"/>
        <v>5.835010060362178E-2</v>
      </c>
      <c r="DE39" s="2412"/>
      <c r="DF39" s="2412"/>
      <c r="DG39" s="2412"/>
      <c r="DH39" s="2412">
        <f>DH15/DH38-1</f>
        <v>4.1095890410958846E-2</v>
      </c>
      <c r="DI39" s="2412">
        <f>DI15/DI38-1</f>
        <v>0.22413793103448265</v>
      </c>
      <c r="DJ39" s="2397"/>
      <c r="DK39" s="2397"/>
      <c r="DL39" s="2412"/>
      <c r="DM39" s="2412"/>
      <c r="DN39" s="2397"/>
      <c r="DO39" s="2397"/>
      <c r="DP39" s="2397"/>
      <c r="DQ39" s="2397"/>
      <c r="DR39" s="2397"/>
      <c r="DS39" s="2397"/>
      <c r="DT39" s="2397"/>
      <c r="DU39" s="2397"/>
      <c r="DV39" s="2397"/>
      <c r="DW39" s="2397"/>
      <c r="DX39" s="2397"/>
      <c r="DY39" s="2397"/>
      <c r="DZ39" s="2397"/>
      <c r="EA39" s="2397"/>
      <c r="EB39" s="2397"/>
      <c r="EC39" s="2397"/>
      <c r="ED39" s="2397"/>
    </row>
    <row r="40" spans="1:134" s="838" customFormat="1" ht="24.6" hidden="1" customHeight="1" outlineLevel="1">
      <c r="A40" s="2395"/>
      <c r="B40" s="471"/>
      <c r="C40" s="471"/>
      <c r="D40" s="1743"/>
      <c r="E40" s="1743"/>
      <c r="F40" s="1743"/>
      <c r="G40" s="1743"/>
      <c r="H40" s="1743"/>
      <c r="I40" s="1743"/>
      <c r="J40" s="1743"/>
      <c r="K40" s="1743"/>
      <c r="L40" s="1743"/>
      <c r="M40" s="1743"/>
      <c r="N40" s="1743"/>
      <c r="O40" s="1743"/>
      <c r="P40" s="1743"/>
      <c r="Q40" s="1743"/>
      <c r="R40" s="1743"/>
      <c r="S40" s="1743"/>
      <c r="T40" s="1743"/>
      <c r="U40" s="1743"/>
      <c r="V40" s="1743"/>
      <c r="W40" s="1743"/>
      <c r="X40" s="1743"/>
      <c r="Y40" s="1743"/>
      <c r="Z40" s="1743"/>
      <c r="AA40" s="1743"/>
      <c r="AB40" s="1743"/>
      <c r="AC40" s="1743"/>
      <c r="AD40" s="1743"/>
      <c r="AE40" s="1743"/>
      <c r="AF40" s="1743"/>
      <c r="AG40" s="1743"/>
      <c r="AH40" s="1743"/>
      <c r="AI40" s="1743"/>
      <c r="AJ40" s="1743"/>
      <c r="AK40" s="1743"/>
      <c r="AL40" s="1743"/>
      <c r="AM40" s="1743"/>
      <c r="AN40" s="1743"/>
      <c r="AO40" s="1743"/>
      <c r="AP40" s="1743"/>
      <c r="AQ40" s="1743"/>
      <c r="AR40" s="1743"/>
      <c r="AS40" s="1743"/>
      <c r="AT40" s="1743"/>
      <c r="AU40" s="1743"/>
      <c r="AV40" s="1743"/>
      <c r="AW40" s="1743"/>
      <c r="AX40" s="1743"/>
      <c r="AY40" s="1743"/>
      <c r="AZ40" s="1743"/>
      <c r="BA40" s="1743"/>
      <c r="BB40" s="1743"/>
      <c r="BC40" s="1743"/>
      <c r="BD40" s="1743"/>
      <c r="BE40" s="1743"/>
      <c r="BF40" s="1743"/>
      <c r="BG40" s="1743"/>
      <c r="BH40" s="1743"/>
      <c r="BI40" s="1677"/>
      <c r="BJ40" s="1743"/>
      <c r="BK40" s="1743"/>
      <c r="BL40" s="1743"/>
      <c r="BM40" s="1743"/>
      <c r="BN40" s="1743"/>
      <c r="BO40" s="1743"/>
      <c r="BP40" s="1743"/>
      <c r="BQ40" s="1743"/>
      <c r="BR40" s="1743"/>
      <c r="BS40" s="1743"/>
      <c r="BT40" s="1743"/>
      <c r="BU40" s="1743"/>
      <c r="BV40" s="1743"/>
      <c r="BW40" s="1743"/>
      <c r="BX40" s="1743"/>
      <c r="BY40" s="1743"/>
      <c r="BZ40" s="1743"/>
      <c r="CA40" s="1743"/>
      <c r="CB40" s="1743"/>
      <c r="CC40" s="1743"/>
      <c r="CD40" s="1743"/>
      <c r="CE40" s="1743"/>
      <c r="CF40" s="1743"/>
      <c r="CG40" s="1743"/>
      <c r="CH40" s="1743"/>
      <c r="CI40" s="1743"/>
      <c r="CJ40" s="1743"/>
      <c r="CK40" s="1743"/>
      <c r="CL40" s="1743"/>
      <c r="CM40" s="1743"/>
      <c r="CN40" s="1743"/>
      <c r="CO40" s="1743"/>
      <c r="CP40" s="1743"/>
      <c r="CQ40" s="1743"/>
      <c r="CR40" s="1743"/>
      <c r="CS40" s="1743"/>
      <c r="CT40" s="1743"/>
      <c r="CU40" s="1743"/>
      <c r="CV40" s="1743"/>
      <c r="CW40" s="1743"/>
      <c r="CX40" s="1743"/>
      <c r="CY40" s="1743"/>
      <c r="CZ40" s="1743"/>
      <c r="DA40" s="1743"/>
      <c r="DB40" s="1743"/>
      <c r="DC40" s="1743"/>
      <c r="DD40" s="1743"/>
      <c r="DE40" s="1743"/>
      <c r="DF40" s="1743"/>
      <c r="DG40" s="1743"/>
      <c r="DH40" s="1743"/>
      <c r="DI40" s="1743"/>
      <c r="DL40" s="1743"/>
      <c r="DM40" s="1743"/>
      <c r="DO40" s="883"/>
      <c r="DP40" s="883"/>
    </row>
    <row r="41" spans="1:134" hidden="1" outlineLevel="1"/>
    <row r="42" spans="1:134" hidden="1" outlineLevel="1"/>
    <row r="43" spans="1:134" hidden="1" outlineLevel="1"/>
    <row r="44" spans="1:134" hidden="1" outlineLevel="1"/>
    <row r="45" spans="1:134" hidden="1" outlineLevel="1"/>
    <row r="46" spans="1:134" hidden="1" outlineLevel="1"/>
    <row r="47" spans="1:134" hidden="1" outlineLevel="1"/>
    <row r="48" spans="1:134" hidden="1" outlineLevel="1"/>
    <row r="49" hidden="1" outlineLevel="1"/>
    <row r="50" hidden="1" outlineLevel="1"/>
    <row r="51" hidden="1" outlineLevel="1"/>
    <row r="52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12">
    <mergeCell ref="BQ7:CT7"/>
    <mergeCell ref="AH7:AR7"/>
    <mergeCell ref="AV7:AV9"/>
    <mergeCell ref="BY9:CA9"/>
    <mergeCell ref="BQ9:BT9"/>
    <mergeCell ref="CB9:CD9"/>
    <mergeCell ref="CN9:CP9"/>
    <mergeCell ref="CQ9:CS9"/>
    <mergeCell ref="AH9:AJ9"/>
    <mergeCell ref="AW7:AW9"/>
    <mergeCell ref="A28:A29"/>
    <mergeCell ref="A31:A34"/>
    <mergeCell ref="DD8:DF8"/>
    <mergeCell ref="CF9:CI9"/>
    <mergeCell ref="DB8:DC8"/>
    <mergeCell ref="AH25:AJ25"/>
    <mergeCell ref="BJ8:BL9"/>
    <mergeCell ref="CF8:CT8"/>
    <mergeCell ref="CJ9:CM9"/>
    <mergeCell ref="A8:B9"/>
    <mergeCell ref="BM8:BO9"/>
    <mergeCell ref="AS7:AS9"/>
    <mergeCell ref="AX8:AZ9"/>
    <mergeCell ref="BA8:BC9"/>
    <mergeCell ref="AU7:AU9"/>
    <mergeCell ref="AT7:AT9"/>
    <mergeCell ref="AM8:AM9"/>
    <mergeCell ref="AN8:AR9"/>
    <mergeCell ref="BD8:BD9"/>
    <mergeCell ref="BJ7:BP7"/>
    <mergeCell ref="M9:Q9"/>
    <mergeCell ref="BG8:BH8"/>
    <mergeCell ref="AX7:BH7"/>
    <mergeCell ref="A7:B7"/>
    <mergeCell ref="DS26:DT26"/>
    <mergeCell ref="EA26:EC26"/>
    <mergeCell ref="DU10:DV10"/>
    <mergeCell ref="DW10:DX10"/>
    <mergeCell ref="DY10:DZ10"/>
    <mergeCell ref="DS10:DT10"/>
    <mergeCell ref="A20:B20"/>
    <mergeCell ref="A21:B21"/>
    <mergeCell ref="DQ10:DR10"/>
    <mergeCell ref="A10:B10"/>
    <mergeCell ref="A11:B11"/>
    <mergeCell ref="A26:B26"/>
    <mergeCell ref="DQ26:DR26"/>
    <mergeCell ref="DU26:DV26"/>
    <mergeCell ref="DW26:DX26"/>
    <mergeCell ref="DY26:DZ26"/>
    <mergeCell ref="DI24:DI25"/>
    <mergeCell ref="DK24:DM24"/>
    <mergeCell ref="DO24:DP24"/>
    <mergeCell ref="AW23:AW25"/>
    <mergeCell ref="AH24:AK24"/>
    <mergeCell ref="DK23:DP23"/>
    <mergeCell ref="AM24:AM25"/>
    <mergeCell ref="AN24:AR25"/>
    <mergeCell ref="DK8:DM8"/>
    <mergeCell ref="DO8:DP8"/>
    <mergeCell ref="DK7:DP7"/>
    <mergeCell ref="CV8:CW9"/>
    <mergeCell ref="CX8:CY9"/>
    <mergeCell ref="CZ8:DA9"/>
    <mergeCell ref="DG8:DG9"/>
    <mergeCell ref="DH8:DH9"/>
    <mergeCell ref="DI8:DI9"/>
    <mergeCell ref="C4:C5"/>
    <mergeCell ref="BD24:BD25"/>
    <mergeCell ref="BE24:BE25"/>
    <mergeCell ref="BF24:BF25"/>
    <mergeCell ref="BJ24:BL25"/>
    <mergeCell ref="BM24:BO25"/>
    <mergeCell ref="BP24:BP25"/>
    <mergeCell ref="BU9:BX9"/>
    <mergeCell ref="BP8:BP9"/>
    <mergeCell ref="BQ8:CE8"/>
    <mergeCell ref="BF8:BF9"/>
    <mergeCell ref="BE8:BE9"/>
    <mergeCell ref="AH8:AK8"/>
    <mergeCell ref="AH23:AR23"/>
    <mergeCell ref="AS23:AS25"/>
    <mergeCell ref="AT23:AT25"/>
    <mergeCell ref="AU23:AU25"/>
    <mergeCell ref="AV23:AV25"/>
    <mergeCell ref="AX23:BF23"/>
    <mergeCell ref="BJ23:BP23"/>
    <mergeCell ref="BQ23:CT23"/>
    <mergeCell ref="BQ25:BT25"/>
    <mergeCell ref="BU25:BX25"/>
    <mergeCell ref="BY25:CA25"/>
    <mergeCell ref="EA10:EC10"/>
    <mergeCell ref="A13:A14"/>
    <mergeCell ref="BQ24:CE24"/>
    <mergeCell ref="CF24:CT24"/>
    <mergeCell ref="CV24:CW25"/>
    <mergeCell ref="CX24:CY25"/>
    <mergeCell ref="CZ24:DA25"/>
    <mergeCell ref="DB24:DC24"/>
    <mergeCell ref="DD24:DF24"/>
    <mergeCell ref="DG24:DG25"/>
    <mergeCell ref="DH24:DH25"/>
    <mergeCell ref="AX24:AZ25"/>
    <mergeCell ref="BA24:BC25"/>
    <mergeCell ref="A23:B23"/>
    <mergeCell ref="CB25:CD25"/>
    <mergeCell ref="CF25:CI25"/>
    <mergeCell ref="CJ25:CM25"/>
    <mergeCell ref="CN25:CP25"/>
    <mergeCell ref="CQ25:CS25"/>
    <mergeCell ref="A24:B25"/>
    <mergeCell ref="A16:A19"/>
  </mergeCells>
  <conditionalFormatting sqref="A39:XFD39">
    <cfRule type="cellIs" dxfId="43" priority="1" operator="lessThan">
      <formula>0.05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1" orientation="landscape" useFirstPageNumber="1" r:id="rId1"/>
  <headerFooter>
    <oddHeader>&amp;L&amp;G&amp;R&amp;14ПРАЙС-ЛИСТ от 10.12.2020 &amp;11розничная цена в рублях РФ (без НДС)</oddHeader>
    <oddFooter>&amp;L&amp;P&amp;R&amp;24ПОГОНАЖ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92</vt:i4>
      </vt:variant>
    </vt:vector>
  </HeadingPairs>
  <TitlesOfParts>
    <vt:vector size="149" baseType="lpstr">
      <vt:lpstr>скидки розница</vt:lpstr>
      <vt:lpstr>наценки РФ</vt:lpstr>
      <vt:lpstr>скидки_наценки</vt:lpstr>
      <vt:lpstr>изменения прайса</vt:lpstr>
      <vt:lpstr>Титул</vt:lpstr>
      <vt:lpstr>Содержание</vt:lpstr>
      <vt:lpstr>Полотна база</vt:lpstr>
      <vt:lpstr>Стекла_база</vt:lpstr>
      <vt:lpstr>Погонаж база</vt:lpstr>
      <vt:lpstr>Ал погонаж база </vt:lpstr>
      <vt:lpstr>Перегородки_база</vt:lpstr>
      <vt:lpstr>Перегородки стекла база</vt:lpstr>
      <vt:lpstr>Полотна опт</vt:lpstr>
      <vt:lpstr>Погонаж опт</vt:lpstr>
      <vt:lpstr>Комплекты опт</vt:lpstr>
      <vt:lpstr>Комплекты</vt:lpstr>
      <vt:lpstr>Комплекты на скрытом коробе</vt:lpstr>
      <vt:lpstr>Techno_Porte</vt:lpstr>
      <vt:lpstr>Techno_Slot</vt:lpstr>
      <vt:lpstr>Techno_Vetro</vt:lpstr>
      <vt:lpstr>Twist</vt:lpstr>
      <vt:lpstr>Standart</vt:lpstr>
      <vt:lpstr>Fusion_Plainе</vt:lpstr>
      <vt:lpstr>Fusion</vt:lpstr>
      <vt:lpstr>Eclectica_Stripe</vt:lpstr>
      <vt:lpstr>Elegance</vt:lpstr>
      <vt:lpstr>Modern Turin</vt:lpstr>
      <vt:lpstr>Modern Bergamo</vt:lpstr>
      <vt:lpstr>Eclectica_Belluno</vt:lpstr>
      <vt:lpstr>Neoclassic</vt:lpstr>
      <vt:lpstr>Provеnce Sienna</vt:lpstr>
      <vt:lpstr>Provеnce Savona</vt:lpstr>
      <vt:lpstr>Provеnce Amelia</vt:lpstr>
      <vt:lpstr>Design</vt:lpstr>
      <vt:lpstr>E-Design</vt:lpstr>
      <vt:lpstr>E-Classic</vt:lpstr>
      <vt:lpstr>Classic Rosso</vt:lpstr>
      <vt:lpstr>Classic Rimini </vt:lpstr>
      <vt:lpstr>Louver</vt:lpstr>
      <vt:lpstr>Grazia</vt:lpstr>
      <vt:lpstr>Corsa_Race</vt:lpstr>
      <vt:lpstr>Steel_Meta_Frame</vt:lpstr>
      <vt:lpstr>Скрытая дверь ОПТ</vt:lpstr>
      <vt:lpstr>Погонаж</vt:lpstr>
      <vt:lpstr>Алюм.погонаж</vt:lpstr>
      <vt:lpstr>Погонаж для прочих</vt:lpstr>
      <vt:lpstr>Стык.элементы</vt:lpstr>
      <vt:lpstr>Плинтусы</vt:lpstr>
      <vt:lpstr>Рейки</vt:lpstr>
      <vt:lpstr>Порталы</vt:lpstr>
      <vt:lpstr>Стен. панели</vt:lpstr>
      <vt:lpstr>Фрамуги_накладки</vt:lpstr>
      <vt:lpstr>Двери для обьектов</vt:lpstr>
      <vt:lpstr>Наценки за габариты</vt:lpstr>
      <vt:lpstr>Прочее наценки</vt:lpstr>
      <vt:lpstr>Покрытия_шпон_эмаль</vt:lpstr>
      <vt:lpstr>Рекламная продукция</vt:lpstr>
      <vt:lpstr>'Classic Rimini '!Print_Area</vt:lpstr>
      <vt:lpstr>'Classic Rosso'!Print_Area</vt:lpstr>
      <vt:lpstr>Corsa_Race!Print_Area</vt:lpstr>
      <vt:lpstr>Design!Print_Area</vt:lpstr>
      <vt:lpstr>'E-Classic'!Print_Area</vt:lpstr>
      <vt:lpstr>Eclectica_Belluno!Print_Area</vt:lpstr>
      <vt:lpstr>Eclectica_Stripe!Print_Area</vt:lpstr>
      <vt:lpstr>'E-Design'!Print_Area</vt:lpstr>
      <vt:lpstr>Elegance!Print_Area</vt:lpstr>
      <vt:lpstr>Fusion!Print_Area</vt:lpstr>
      <vt:lpstr>Fusion_Plainе!Print_Area</vt:lpstr>
      <vt:lpstr>Grazia!Print_Area</vt:lpstr>
      <vt:lpstr>Louver!Print_Area</vt:lpstr>
      <vt:lpstr>'Modern Bergamo'!Print_Area</vt:lpstr>
      <vt:lpstr>'Modern Turin'!Print_Area</vt:lpstr>
      <vt:lpstr>Neoclassic!Print_Area</vt:lpstr>
      <vt:lpstr>'Provеnce Amelia'!Print_Area</vt:lpstr>
      <vt:lpstr>'Provеnce Sienna'!Print_Area</vt:lpstr>
      <vt:lpstr>Standart!Print_Area</vt:lpstr>
      <vt:lpstr>Techno_Porte!Print_Area</vt:lpstr>
      <vt:lpstr>Techno_Slot!Print_Area</vt:lpstr>
      <vt:lpstr>Techno_Vetro!Print_Area</vt:lpstr>
      <vt:lpstr>Twist!Print_Area</vt:lpstr>
      <vt:lpstr>'Ал погонаж база '!Print_Area</vt:lpstr>
      <vt:lpstr>Алюм.погонаж!Print_Area</vt:lpstr>
      <vt:lpstr>'Двери для обьектов'!Print_Area</vt:lpstr>
      <vt:lpstr>'Наценки за габариты'!Print_Area</vt:lpstr>
      <vt:lpstr>Плинтусы!Print_Area</vt:lpstr>
      <vt:lpstr>Погонаж!Print_Area</vt:lpstr>
      <vt:lpstr>'Погонаж база'!Print_Area</vt:lpstr>
      <vt:lpstr>'Погонаж для прочих'!Print_Area</vt:lpstr>
      <vt:lpstr>Покрытия_шпон_эмаль!Print_Area</vt:lpstr>
      <vt:lpstr>Порталы!Print_Area</vt:lpstr>
      <vt:lpstr>Рейки!Print_Area</vt:lpstr>
      <vt:lpstr>'Рекламная продукция'!Print_Area</vt:lpstr>
      <vt:lpstr>'Скрытая дверь ОПТ'!Print_Area</vt:lpstr>
      <vt:lpstr>Содержание!Print_Area</vt:lpstr>
      <vt:lpstr>'Стен. панели'!Print_Area</vt:lpstr>
      <vt:lpstr>Титул!Print_Area</vt:lpstr>
      <vt:lpstr>Фрамуги_накладки!Print_Area</vt:lpstr>
      <vt:lpstr>'наценки РФ'!Заголовки_для_печати</vt:lpstr>
      <vt:lpstr>'Classic Rimini '!Область_печати</vt:lpstr>
      <vt:lpstr>'Classic Rosso'!Область_печати</vt:lpstr>
      <vt:lpstr>Corsa_Race!Область_печати</vt:lpstr>
      <vt:lpstr>Design!Область_печати</vt:lpstr>
      <vt:lpstr>'E-Classic'!Область_печати</vt:lpstr>
      <vt:lpstr>Eclectica_Belluno!Область_печати</vt:lpstr>
      <vt:lpstr>Eclectica_Stripe!Область_печати</vt:lpstr>
      <vt:lpstr>'E-Design'!Область_печати</vt:lpstr>
      <vt:lpstr>Elegance!Область_печати</vt:lpstr>
      <vt:lpstr>Fusion!Область_печати</vt:lpstr>
      <vt:lpstr>Fusion_Plainе!Область_печати</vt:lpstr>
      <vt:lpstr>Grazia!Область_печати</vt:lpstr>
      <vt:lpstr>Louver!Область_печати</vt:lpstr>
      <vt:lpstr>'Modern Bergamo'!Область_печати</vt:lpstr>
      <vt:lpstr>'Modern Turin'!Область_печати</vt:lpstr>
      <vt:lpstr>Neoclassic!Область_печати</vt:lpstr>
      <vt:lpstr>'Provеnce Amelia'!Область_печати</vt:lpstr>
      <vt:lpstr>'Provеnce Savona'!Область_печати</vt:lpstr>
      <vt:lpstr>'Provеnce Sienna'!Область_печати</vt:lpstr>
      <vt:lpstr>Standart!Область_печати</vt:lpstr>
      <vt:lpstr>Steel_Meta_Frame!Область_печати</vt:lpstr>
      <vt:lpstr>Techno_Porte!Область_печати</vt:lpstr>
      <vt:lpstr>Techno_Slot!Область_печати</vt:lpstr>
      <vt:lpstr>Techno_Vetro!Область_печати</vt:lpstr>
      <vt:lpstr>Twist!Область_печати</vt:lpstr>
      <vt:lpstr>'Ал погонаж база '!Область_печати</vt:lpstr>
      <vt:lpstr>Алюм.погонаж!Область_печати</vt:lpstr>
      <vt:lpstr>'Двери для обьектов'!Область_печати</vt:lpstr>
      <vt:lpstr>'изменения прайса'!Область_печати</vt:lpstr>
      <vt:lpstr>Комплекты!Область_печати</vt:lpstr>
      <vt:lpstr>'Комплекты на скрытом коробе'!Область_печати</vt:lpstr>
      <vt:lpstr>'Комплекты опт'!Область_печати</vt:lpstr>
      <vt:lpstr>'Наценки за габариты'!Область_печати</vt:lpstr>
      <vt:lpstr>Плинтусы!Область_печати</vt:lpstr>
      <vt:lpstr>Погонаж!Область_печати</vt:lpstr>
      <vt:lpstr>'Погонаж база'!Область_печати</vt:lpstr>
      <vt:lpstr>'Погонаж для прочих'!Область_печати</vt:lpstr>
      <vt:lpstr>Покрытия_шпон_эмаль!Область_печати</vt:lpstr>
      <vt:lpstr>'Полотна опт'!Область_печати</vt:lpstr>
      <vt:lpstr>Порталы!Область_печати</vt:lpstr>
      <vt:lpstr>'Прочее наценки'!Область_печати</vt:lpstr>
      <vt:lpstr>Рейки!Область_печати</vt:lpstr>
      <vt:lpstr>'Рекламная продукция'!Область_печати</vt:lpstr>
      <vt:lpstr>'скидки розница'!Область_печати</vt:lpstr>
      <vt:lpstr>скидки_наценки!Область_печати</vt:lpstr>
      <vt:lpstr>'Скрытая дверь ОПТ'!Область_печати</vt:lpstr>
      <vt:lpstr>Содержание!Область_печати</vt:lpstr>
      <vt:lpstr>'Стен. панели'!Область_печати</vt:lpstr>
      <vt:lpstr>Стык.элементы!Область_печати</vt:lpstr>
      <vt:lpstr>Титул!Область_печати</vt:lpstr>
      <vt:lpstr>Фрамуги_накладки!Область_печати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2024-12-28T04:58:19Z</dcterms:modified>
</cp:coreProperties>
</file>